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RVICES\SCP\ECHANGES\Dimitri\IAA\optigede\"/>
    </mc:Choice>
  </mc:AlternateContent>
  <bookViews>
    <workbookView xWindow="0" yWindow="0" windowWidth="20490" windowHeight="7530" tabRatio="778"/>
  </bookViews>
  <sheets>
    <sheet name="PREAMBULE" sheetId="22" r:id="rId1"/>
    <sheet name="DEMARCHE niveau 3" sheetId="23" r:id="rId2"/>
    <sheet name="GENERALITES" sheetId="6" r:id="rId3"/>
    <sheet name="Aide données" sheetId="24" r:id="rId4"/>
    <sheet name="ETAPE 1" sheetId="10" r:id="rId5"/>
    <sheet name="ETAPE 2" sheetId="9" r:id="rId6"/>
    <sheet name="ETAPE 3" sheetId="11" r:id="rId7"/>
    <sheet name="ETAPE 4" sheetId="12" r:id="rId8"/>
    <sheet name="ETAPE 5" sheetId="15" r:id="rId9"/>
    <sheet name="ETAPE 6" sheetId="16" r:id="rId10"/>
    <sheet name="SYNTHESE EXCEL" sheetId="17" r:id="rId11"/>
    <sheet name="SYNTHESE GRAPHIQUES" sheetId="18" r:id="rId12"/>
    <sheet name="EXTRACT" sheetId="20" r:id="rId13"/>
    <sheet name="Annexes" sheetId="4" state="hidden" r:id="rId14"/>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0" l="1"/>
  <c r="G10" i="12"/>
  <c r="C16" i="12"/>
  <c r="B10" i="12" s="1"/>
  <c r="E16" i="12"/>
  <c r="E10" i="12" s="1"/>
  <c r="G16" i="12"/>
  <c r="I16" i="12"/>
  <c r="I123" i="12" s="1"/>
  <c r="U16" i="12"/>
  <c r="X16" i="12"/>
  <c r="AM16" i="12"/>
  <c r="K18" i="12"/>
  <c r="S18" i="12"/>
  <c r="AK18" i="12"/>
  <c r="K19" i="12"/>
  <c r="S19" i="12"/>
  <c r="AK19" i="12"/>
  <c r="K20" i="12"/>
  <c r="S20" i="12"/>
  <c r="AK20" i="12"/>
  <c r="K21" i="12"/>
  <c r="S21" i="12"/>
  <c r="AK21" i="12"/>
  <c r="K22" i="12"/>
  <c r="S22" i="12"/>
  <c r="AK22" i="12"/>
  <c r="K23" i="12"/>
  <c r="S23" i="12"/>
  <c r="AK23" i="12"/>
  <c r="K24" i="12"/>
  <c r="S24" i="12"/>
  <c r="AK24" i="12"/>
  <c r="K25" i="12"/>
  <c r="S25" i="12"/>
  <c r="AK25" i="12"/>
  <c r="G31" i="12"/>
  <c r="S31" i="12"/>
  <c r="AK31" i="12"/>
  <c r="K33" i="12"/>
  <c r="N33" i="12"/>
  <c r="P31" i="12" s="1"/>
  <c r="AF33" i="12"/>
  <c r="AH31" i="12" s="1"/>
  <c r="K34" i="12"/>
  <c r="K31" i="12" s="1"/>
  <c r="N34" i="12"/>
  <c r="AF34" i="12"/>
  <c r="K35" i="12"/>
  <c r="N35" i="12"/>
  <c r="AF35" i="12"/>
  <c r="K36" i="12"/>
  <c r="N36" i="12"/>
  <c r="AF36" i="12"/>
  <c r="K37" i="12"/>
  <c r="N37" i="12"/>
  <c r="AF37" i="12"/>
  <c r="K38" i="12"/>
  <c r="N38" i="12"/>
  <c r="AF38" i="12"/>
  <c r="H46" i="12"/>
  <c r="L46" i="12"/>
  <c r="N46" i="12"/>
  <c r="P46" i="12" s="1"/>
  <c r="O46" i="12"/>
  <c r="S46" i="12"/>
  <c r="U46" i="12" s="1"/>
  <c r="AF46" i="12"/>
  <c r="AH46" i="12" s="1"/>
  <c r="AG46" i="12"/>
  <c r="AK46" i="12"/>
  <c r="H49" i="12"/>
  <c r="H50" i="12"/>
  <c r="H51" i="12"/>
  <c r="H52" i="12"/>
  <c r="H58" i="12"/>
  <c r="L58" i="12"/>
  <c r="N58" i="12"/>
  <c r="P58" i="12" s="1"/>
  <c r="O58" i="12"/>
  <c r="S58" i="12"/>
  <c r="AF58" i="12"/>
  <c r="AH58" i="12" s="1"/>
  <c r="AG58" i="12"/>
  <c r="AK58" i="12"/>
  <c r="H61" i="12"/>
  <c r="H62" i="12"/>
  <c r="H63" i="12"/>
  <c r="H64" i="12"/>
  <c r="B66" i="12"/>
  <c r="H70" i="12"/>
  <c r="L70" i="12"/>
  <c r="N70" i="12"/>
  <c r="O70" i="12"/>
  <c r="P70" i="12"/>
  <c r="S70" i="12"/>
  <c r="AF70" i="12"/>
  <c r="AG70" i="12"/>
  <c r="AH70" i="12"/>
  <c r="AK70" i="12"/>
  <c r="H73" i="12"/>
  <c r="H74" i="12"/>
  <c r="H75" i="12"/>
  <c r="H76" i="12"/>
  <c r="H82" i="12"/>
  <c r="L82" i="12"/>
  <c r="N82" i="12"/>
  <c r="O82" i="12"/>
  <c r="P82" i="12"/>
  <c r="S82" i="12"/>
  <c r="H85" i="12"/>
  <c r="H86" i="12"/>
  <c r="H87" i="12"/>
  <c r="H88" i="12"/>
  <c r="N94" i="12"/>
  <c r="P94" i="12"/>
  <c r="S94" i="12"/>
  <c r="N106" i="12"/>
  <c r="I112" i="12"/>
  <c r="N114" i="12"/>
  <c r="AF114" i="12"/>
  <c r="N115" i="12"/>
  <c r="AF115" i="12"/>
  <c r="N116" i="12"/>
  <c r="AF116" i="12"/>
  <c r="N117" i="12"/>
  <c r="AF117" i="12"/>
  <c r="B123" i="12"/>
  <c r="G123" i="12"/>
  <c r="AM70" i="12" l="1"/>
  <c r="AP70" i="12" s="1"/>
  <c r="AR70" i="12" s="1"/>
  <c r="U82" i="12"/>
  <c r="U70" i="12"/>
  <c r="U31" i="12"/>
  <c r="U94" i="12"/>
  <c r="X82" i="12"/>
  <c r="Z82" i="12" s="1"/>
  <c r="AM58" i="12"/>
  <c r="AP58" i="12" s="1"/>
  <c r="AR58" i="12" s="1"/>
  <c r="X94" i="12"/>
  <c r="X46" i="12"/>
  <c r="Z46" i="12" s="1"/>
  <c r="AH123" i="12"/>
  <c r="AM46" i="12"/>
  <c r="X58" i="12"/>
  <c r="G106" i="12"/>
  <c r="K106" i="12" s="1"/>
  <c r="AC106" i="12" s="1"/>
  <c r="G112" i="12"/>
  <c r="U58" i="12"/>
  <c r="P123" i="12"/>
  <c r="X31" i="12"/>
  <c r="X70" i="12"/>
  <c r="AP46" i="12"/>
  <c r="AR46" i="12" s="1"/>
  <c r="AM31" i="12"/>
  <c r="AM123" i="12" s="1"/>
  <c r="Z94" i="12"/>
  <c r="I10" i="12"/>
  <c r="N10" i="12"/>
  <c r="Z16" i="12"/>
  <c r="Z58" i="12"/>
  <c r="Z70" i="12"/>
  <c r="Z31" i="12"/>
  <c r="AP16" i="12"/>
  <c r="E123" i="12"/>
  <c r="K16" i="12"/>
  <c r="K123" i="12" s="1"/>
  <c r="D10" i="20"/>
  <c r="D23" i="24"/>
  <c r="D22" i="24"/>
  <c r="D21" i="24"/>
  <c r="D20" i="24"/>
  <c r="D19" i="24"/>
  <c r="D18" i="24"/>
  <c r="D10" i="24"/>
  <c r="AP123" i="12" l="1"/>
  <c r="U123" i="12"/>
  <c r="AR16" i="12"/>
  <c r="X123" i="12"/>
  <c r="AP31" i="12"/>
  <c r="AR31" i="12" s="1"/>
  <c r="AC16" i="12"/>
  <c r="Z123" i="12"/>
  <c r="AC31" i="12"/>
  <c r="I46" i="12"/>
  <c r="K46" i="12" s="1"/>
  <c r="I94" i="12"/>
  <c r="K94" i="12" s="1"/>
  <c r="AC94" i="12"/>
  <c r="I58" i="12"/>
  <c r="K58" i="12" s="1"/>
  <c r="AC70" i="12"/>
  <c r="I70" i="12"/>
  <c r="K70" i="12" s="1"/>
  <c r="I82" i="12"/>
  <c r="K82" i="12" s="1"/>
  <c r="AU46" i="12"/>
  <c r="AC58" i="12"/>
  <c r="AU58" i="12"/>
  <c r="AU31" i="12"/>
  <c r="K116" i="12"/>
  <c r="K114" i="12"/>
  <c r="K117" i="12"/>
  <c r="K115" i="12"/>
  <c r="Q41" i="18"/>
  <c r="Q6" i="18"/>
  <c r="Z27" i="24"/>
  <c r="K112" i="12" l="1"/>
  <c r="AC112" i="12"/>
  <c r="AU112" i="12"/>
  <c r="AC46" i="12"/>
  <c r="AC123" i="12" s="1"/>
  <c r="AC82" i="12"/>
  <c r="AU70" i="12"/>
  <c r="AU16" i="12"/>
  <c r="AR123" i="12"/>
  <c r="Y27" i="24"/>
  <c r="AA16" i="24" s="1"/>
  <c r="AU123" i="12" l="1"/>
  <c r="U11" i="24"/>
  <c r="U12" i="24"/>
  <c r="U13" i="24"/>
  <c r="U14" i="24"/>
  <c r="U15" i="24"/>
  <c r="U10" i="24"/>
  <c r="S9" i="24"/>
  <c r="R9" i="24"/>
  <c r="H18" i="24"/>
  <c r="H19" i="24"/>
  <c r="H20" i="24"/>
  <c r="H21" i="24"/>
  <c r="H22" i="24"/>
  <c r="H23" i="24"/>
  <c r="S10" i="24" l="1"/>
  <c r="H11" i="24"/>
  <c r="H12" i="24"/>
  <c r="H13" i="24"/>
  <c r="H14" i="24"/>
  <c r="H15" i="24"/>
  <c r="H16" i="24"/>
  <c r="H17" i="24"/>
  <c r="H10" i="24"/>
  <c r="D11" i="24"/>
  <c r="D12" i="24"/>
  <c r="D13" i="24"/>
  <c r="D14" i="24"/>
  <c r="D15" i="24"/>
  <c r="D16" i="24"/>
  <c r="D17" i="24"/>
  <c r="C16" i="9" l="1"/>
  <c r="B10" i="9" s="1"/>
  <c r="E16" i="9"/>
  <c r="E10" i="9" s="1"/>
  <c r="G16" i="9"/>
  <c r="G123" i="9" s="1"/>
  <c r="I16" i="9"/>
  <c r="I123" i="9" s="1"/>
  <c r="K18" i="9"/>
  <c r="S18" i="9"/>
  <c r="K19" i="9"/>
  <c r="S19" i="9"/>
  <c r="AK19" i="9"/>
  <c r="K20" i="9"/>
  <c r="S20" i="9"/>
  <c r="AK20" i="9"/>
  <c r="K21" i="9"/>
  <c r="S21" i="9"/>
  <c r="AK21" i="9"/>
  <c r="K22" i="9"/>
  <c r="S22" i="9"/>
  <c r="AK22" i="9"/>
  <c r="K23" i="9"/>
  <c r="S23" i="9"/>
  <c r="AK23" i="9"/>
  <c r="K24" i="9"/>
  <c r="S24" i="9"/>
  <c r="AK24" i="9"/>
  <c r="K25" i="9"/>
  <c r="S25" i="9"/>
  <c r="AK25" i="9"/>
  <c r="G31" i="9"/>
  <c r="K33" i="9"/>
  <c r="N33" i="9"/>
  <c r="AF33" i="9"/>
  <c r="K34" i="9"/>
  <c r="N34" i="9"/>
  <c r="AF34" i="9"/>
  <c r="K35" i="9"/>
  <c r="N35" i="9"/>
  <c r="AF35" i="9"/>
  <c r="K36" i="9"/>
  <c r="N36" i="9"/>
  <c r="AF36" i="9"/>
  <c r="K37" i="9"/>
  <c r="N37" i="9"/>
  <c r="AF37" i="9"/>
  <c r="K38" i="9"/>
  <c r="N38" i="9"/>
  <c r="AF38" i="9"/>
  <c r="H46" i="9"/>
  <c r="L46" i="9"/>
  <c r="N46" i="9"/>
  <c r="P46" i="9" s="1"/>
  <c r="AF46" i="9"/>
  <c r="AH46" i="9" s="1"/>
  <c r="H49" i="9"/>
  <c r="H50" i="9"/>
  <c r="H51" i="9"/>
  <c r="H52" i="9"/>
  <c r="H58" i="9"/>
  <c r="L58" i="9"/>
  <c r="N58" i="9"/>
  <c r="P58" i="9" s="1"/>
  <c r="AF58" i="9"/>
  <c r="AH58" i="9" s="1"/>
  <c r="H61" i="9"/>
  <c r="H62" i="9"/>
  <c r="H63" i="9"/>
  <c r="H64" i="9"/>
  <c r="H70" i="9"/>
  <c r="L70" i="9"/>
  <c r="N70" i="9"/>
  <c r="P70" i="9" s="1"/>
  <c r="AF70" i="9"/>
  <c r="AH70" i="9" s="1"/>
  <c r="H73" i="9"/>
  <c r="H74" i="9"/>
  <c r="H75" i="9"/>
  <c r="H76" i="9"/>
  <c r="H82" i="9"/>
  <c r="L82" i="9"/>
  <c r="N82" i="9"/>
  <c r="P82" i="9" s="1"/>
  <c r="H85" i="9"/>
  <c r="H86" i="9"/>
  <c r="H87" i="9"/>
  <c r="H88" i="9"/>
  <c r="I112" i="9"/>
  <c r="N114" i="9"/>
  <c r="AF114" i="9"/>
  <c r="N115" i="9"/>
  <c r="AF115" i="9"/>
  <c r="N116" i="9"/>
  <c r="AF116" i="9"/>
  <c r="N117" i="9"/>
  <c r="AF117" i="9"/>
  <c r="G53" i="6"/>
  <c r="N94" i="16" s="1"/>
  <c r="N18" i="10"/>
  <c r="I22" i="6"/>
  <c r="L22" i="6"/>
  <c r="M22" i="6"/>
  <c r="N22" i="6"/>
  <c r="I23" i="6"/>
  <c r="L23" i="6"/>
  <c r="M23" i="6"/>
  <c r="N23" i="6"/>
  <c r="I24" i="6"/>
  <c r="L24" i="6"/>
  <c r="M24" i="6"/>
  <c r="N24" i="6"/>
  <c r="I25" i="6"/>
  <c r="L25" i="6"/>
  <c r="M25" i="6"/>
  <c r="N25" i="6"/>
  <c r="I26" i="6"/>
  <c r="L26" i="6"/>
  <c r="M26" i="6"/>
  <c r="N26" i="6"/>
  <c r="I27" i="6"/>
  <c r="L27" i="6"/>
  <c r="M27" i="6"/>
  <c r="N27" i="6"/>
  <c r="I28" i="6"/>
  <c r="L28" i="6"/>
  <c r="M28" i="6"/>
  <c r="N28" i="6"/>
  <c r="I29" i="6"/>
  <c r="L29" i="6"/>
  <c r="N29" i="6"/>
  <c r="I30" i="6"/>
  <c r="L30" i="6"/>
  <c r="N30" i="6"/>
  <c r="I31" i="6"/>
  <c r="L31" i="6"/>
  <c r="N31" i="6"/>
  <c r="E28" i="6"/>
  <c r="E29" i="6"/>
  <c r="E30" i="6"/>
  <c r="N94" i="9" l="1"/>
  <c r="P94" i="9" s="1"/>
  <c r="N94" i="11"/>
  <c r="N94" i="15"/>
  <c r="N94" i="10"/>
  <c r="P31" i="9"/>
  <c r="AH31" i="9"/>
  <c r="AH123" i="9" s="1"/>
  <c r="K31" i="9"/>
  <c r="G106" i="9" s="1"/>
  <c r="K106" i="9" s="1"/>
  <c r="E123" i="9"/>
  <c r="G10" i="9"/>
  <c r="I10" i="9" s="1"/>
  <c r="B123" i="9"/>
  <c r="K16" i="9"/>
  <c r="K123" i="9" s="1"/>
  <c r="N10" i="9" l="1"/>
  <c r="I82" i="9" s="1"/>
  <c r="K82" i="9" s="1"/>
  <c r="P123" i="9"/>
  <c r="G112" i="9"/>
  <c r="K114" i="9" s="1"/>
  <c r="I58" i="9" l="1"/>
  <c r="K58" i="9" s="1"/>
  <c r="I70" i="9"/>
  <c r="K70" i="9" s="1"/>
  <c r="I94" i="9"/>
  <c r="K94" i="9" s="1"/>
  <c r="I46" i="9"/>
  <c r="K46" i="9" s="1"/>
  <c r="K117" i="9"/>
  <c r="K116" i="9"/>
  <c r="K115" i="9"/>
  <c r="K112" i="9" l="1"/>
  <c r="AU112" i="9"/>
  <c r="AC112" i="9"/>
  <c r="P9" i="20" l="1"/>
  <c r="E38" i="20" l="1"/>
  <c r="P29" i="20" l="1"/>
  <c r="P12" i="20"/>
  <c r="P16" i="20"/>
  <c r="P20" i="20"/>
  <c r="P24" i="20"/>
  <c r="P13" i="20"/>
  <c r="P17" i="20"/>
  <c r="P21" i="20"/>
  <c r="P25" i="20"/>
  <c r="P10" i="20"/>
  <c r="P14" i="20"/>
  <c r="P18" i="20"/>
  <c r="P22" i="20"/>
  <c r="P26" i="20"/>
  <c r="P11" i="20"/>
  <c r="P15" i="20"/>
  <c r="P19" i="20"/>
  <c r="P23" i="20"/>
  <c r="P27" i="20"/>
  <c r="P28" i="20"/>
  <c r="G37" i="20" l="1"/>
  <c r="H39" i="20"/>
  <c r="H38" i="20"/>
  <c r="G39" i="20"/>
  <c r="H37" i="20"/>
  <c r="G38" i="20"/>
  <c r="J10" i="20"/>
  <c r="J11" i="20"/>
  <c r="J12" i="20"/>
  <c r="J13" i="20"/>
  <c r="J14" i="20"/>
  <c r="J15" i="20"/>
  <c r="J16" i="20"/>
  <c r="J17" i="20"/>
  <c r="J18" i="20"/>
  <c r="J19" i="20"/>
  <c r="J20" i="20"/>
  <c r="J21" i="20"/>
  <c r="J22" i="20"/>
  <c r="J23" i="20"/>
  <c r="J24" i="20"/>
  <c r="J25" i="20"/>
  <c r="J26" i="20"/>
  <c r="J27" i="20"/>
  <c r="J28" i="20"/>
  <c r="J29" i="20"/>
  <c r="J30" i="20"/>
  <c r="J31" i="20"/>
  <c r="J32" i="20"/>
  <c r="J33" i="20"/>
  <c r="J9" i="20"/>
  <c r="H40" i="20" l="1"/>
  <c r="K18" i="10" l="1"/>
  <c r="D22" i="20" l="1"/>
  <c r="D13" i="20"/>
  <c r="D15" i="20"/>
  <c r="N46" i="10" l="1"/>
  <c r="P46" i="10" s="1"/>
  <c r="J8" i="17"/>
  <c r="B48" i="6" l="1"/>
  <c r="B66" i="9" s="1"/>
  <c r="N48" i="6"/>
  <c r="AG70" i="9" s="1"/>
  <c r="E48" i="6"/>
  <c r="O70" i="9" s="1"/>
  <c r="L82" i="16"/>
  <c r="H85" i="16"/>
  <c r="H88" i="16"/>
  <c r="H87" i="16"/>
  <c r="H86" i="16"/>
  <c r="H82" i="16"/>
  <c r="L82" i="15"/>
  <c r="H88" i="15"/>
  <c r="H87" i="15"/>
  <c r="H86" i="15"/>
  <c r="H85" i="15"/>
  <c r="H82" i="15"/>
  <c r="L82" i="11"/>
  <c r="H88" i="11"/>
  <c r="H87" i="11"/>
  <c r="H86" i="11"/>
  <c r="H85" i="11"/>
  <c r="H82" i="11"/>
  <c r="L82" i="10"/>
  <c r="H88" i="10"/>
  <c r="H87" i="10"/>
  <c r="H86" i="10"/>
  <c r="H85" i="10"/>
  <c r="H82" i="10"/>
  <c r="L70" i="16"/>
  <c r="H76" i="16"/>
  <c r="H75" i="16"/>
  <c r="H74" i="16"/>
  <c r="H73" i="16"/>
  <c r="H70" i="16"/>
  <c r="L70" i="15"/>
  <c r="H76" i="15"/>
  <c r="H75" i="15"/>
  <c r="H74" i="15"/>
  <c r="H73" i="15"/>
  <c r="H70" i="15"/>
  <c r="L58" i="11"/>
  <c r="H64" i="11"/>
  <c r="H63" i="11"/>
  <c r="H62" i="11"/>
  <c r="H61" i="11"/>
  <c r="H58" i="11"/>
  <c r="L70" i="11"/>
  <c r="H76" i="11"/>
  <c r="H75" i="11"/>
  <c r="H74" i="11"/>
  <c r="H73" i="11"/>
  <c r="H70" i="11"/>
  <c r="L70" i="10"/>
  <c r="H76" i="10"/>
  <c r="H75" i="10"/>
  <c r="H74" i="10"/>
  <c r="H73" i="10"/>
  <c r="H70" i="10"/>
  <c r="L58" i="16"/>
  <c r="H64" i="16"/>
  <c r="H63" i="16"/>
  <c r="H62" i="16"/>
  <c r="H61" i="16"/>
  <c r="H58" i="16"/>
  <c r="L58" i="15"/>
  <c r="H64" i="15"/>
  <c r="H63" i="15"/>
  <c r="H62" i="15"/>
  <c r="H61" i="15"/>
  <c r="H58" i="15"/>
  <c r="L58" i="10"/>
  <c r="H64" i="10"/>
  <c r="H63" i="10"/>
  <c r="H62" i="10"/>
  <c r="H61" i="10"/>
  <c r="H58" i="10"/>
  <c r="L46" i="16"/>
  <c r="H52" i="16"/>
  <c r="H51" i="16"/>
  <c r="H50" i="16"/>
  <c r="H49" i="16"/>
  <c r="H46" i="16"/>
  <c r="H52" i="15"/>
  <c r="H51" i="15"/>
  <c r="H50" i="15"/>
  <c r="H49" i="15"/>
  <c r="L46" i="15"/>
  <c r="H46" i="15"/>
  <c r="H50" i="11"/>
  <c r="H51" i="11"/>
  <c r="H52" i="11"/>
  <c r="H49" i="11"/>
  <c r="L46" i="11"/>
  <c r="H46" i="11"/>
  <c r="L46" i="10"/>
  <c r="H50" i="10"/>
  <c r="H51" i="10"/>
  <c r="H52" i="10"/>
  <c r="H49" i="10"/>
  <c r="H46" i="10"/>
  <c r="N69" i="6"/>
  <c r="N70" i="6"/>
  <c r="N71" i="6"/>
  <c r="N68" i="6"/>
  <c r="E71" i="6"/>
  <c r="E69" i="6"/>
  <c r="E70" i="6"/>
  <c r="E68" i="6"/>
  <c r="N63" i="6"/>
  <c r="E21" i="6"/>
  <c r="K63" i="6"/>
  <c r="N46" i="6"/>
  <c r="N47" i="6"/>
  <c r="E49" i="6"/>
  <c r="E47" i="6"/>
  <c r="E46" i="6"/>
  <c r="N37" i="6"/>
  <c r="N38" i="6"/>
  <c r="N39" i="6"/>
  <c r="N40" i="6"/>
  <c r="N41" i="6"/>
  <c r="N36" i="6"/>
  <c r="L37" i="6"/>
  <c r="L38" i="6"/>
  <c r="L39" i="6"/>
  <c r="L40" i="6"/>
  <c r="L41" i="6"/>
  <c r="L36" i="6"/>
  <c r="I37" i="6"/>
  <c r="I38" i="6"/>
  <c r="I39" i="6"/>
  <c r="I40" i="6"/>
  <c r="I41" i="6"/>
  <c r="I36" i="6"/>
  <c r="E41" i="6"/>
  <c r="E37" i="6"/>
  <c r="E38" i="6"/>
  <c r="E39" i="6"/>
  <c r="E40" i="6"/>
  <c r="E36" i="6"/>
  <c r="M21" i="6"/>
  <c r="AK18" i="9" s="1"/>
  <c r="N21" i="6"/>
  <c r="L21" i="6"/>
  <c r="I21" i="6"/>
  <c r="E22" i="6"/>
  <c r="E23" i="6"/>
  <c r="E24" i="6"/>
  <c r="E25" i="6"/>
  <c r="E26" i="6"/>
  <c r="E27" i="6"/>
  <c r="E31" i="6"/>
  <c r="AG58" i="15" l="1"/>
  <c r="AG58" i="9"/>
  <c r="O82" i="15"/>
  <c r="O82" i="9"/>
  <c r="AG46" i="15"/>
  <c r="AG46" i="9"/>
  <c r="O46" i="16"/>
  <c r="O46" i="9"/>
  <c r="O58" i="11"/>
  <c r="O58" i="9"/>
  <c r="O58" i="10"/>
  <c r="O58" i="15"/>
  <c r="O58" i="16"/>
  <c r="AG58" i="16"/>
  <c r="O82" i="16"/>
  <c r="O82" i="11"/>
  <c r="AG58" i="11"/>
  <c r="Y58" i="10"/>
  <c r="O82" i="10"/>
  <c r="O46" i="15"/>
  <c r="AG46" i="16"/>
  <c r="O46" i="10"/>
  <c r="O46" i="11"/>
  <c r="Y46" i="10"/>
  <c r="AG46" i="11"/>
  <c r="N114" i="10"/>
  <c r="K33" i="10"/>
  <c r="P94" i="16"/>
  <c r="P94" i="15"/>
  <c r="P94" i="11"/>
  <c r="P94" i="10"/>
  <c r="J52" i="17" l="1"/>
  <c r="J42" i="17"/>
  <c r="J39" i="17"/>
  <c r="J32" i="17"/>
  <c r="J22" i="17"/>
  <c r="J17" i="17"/>
  <c r="I8" i="17"/>
  <c r="H8" i="17"/>
  <c r="G8" i="17"/>
  <c r="F8" i="17"/>
  <c r="E8" i="17"/>
  <c r="Y70" i="10"/>
  <c r="C19" i="17"/>
  <c r="I19" i="17" s="1"/>
  <c r="K19" i="16"/>
  <c r="K20" i="16"/>
  <c r="K21" i="16"/>
  <c r="K22" i="16"/>
  <c r="K23" i="16"/>
  <c r="K24" i="16"/>
  <c r="K25" i="16"/>
  <c r="K18" i="16"/>
  <c r="K24" i="15"/>
  <c r="K25" i="15"/>
  <c r="K24" i="11"/>
  <c r="K25" i="11"/>
  <c r="K24" i="10"/>
  <c r="K25" i="10"/>
  <c r="C40" i="17"/>
  <c r="I40" i="17" s="1"/>
  <c r="C39" i="17"/>
  <c r="H39" i="17" s="1"/>
  <c r="C38" i="17"/>
  <c r="J38" i="17" s="1"/>
  <c r="C37" i="17"/>
  <c r="J37" i="17" s="1"/>
  <c r="C36" i="17"/>
  <c r="J36" i="17" s="1"/>
  <c r="C35" i="17"/>
  <c r="J35" i="17" s="1"/>
  <c r="C34" i="17"/>
  <c r="J34" i="17" s="1"/>
  <c r="C33" i="17"/>
  <c r="E33" i="17" s="1"/>
  <c r="C30" i="17"/>
  <c r="H30" i="17" s="1"/>
  <c r="C29" i="17"/>
  <c r="H29" i="17" s="1"/>
  <c r="C28" i="17"/>
  <c r="J28" i="17" s="1"/>
  <c r="C27" i="17"/>
  <c r="J27" i="17" s="1"/>
  <c r="C26" i="17"/>
  <c r="J26" i="17" s="1"/>
  <c r="C25" i="17"/>
  <c r="J25" i="17" s="1"/>
  <c r="C24" i="17"/>
  <c r="J24" i="17" s="1"/>
  <c r="C23" i="17"/>
  <c r="J23" i="17" s="1"/>
  <c r="C20" i="17"/>
  <c r="E20" i="17" s="1"/>
  <c r="C18" i="17"/>
  <c r="J18" i="17" s="1"/>
  <c r="C17" i="17"/>
  <c r="C16" i="17"/>
  <c r="E16" i="17" s="1"/>
  <c r="C15" i="17"/>
  <c r="J15" i="17" s="1"/>
  <c r="C14" i="17"/>
  <c r="J14" i="17" s="1"/>
  <c r="C13" i="17"/>
  <c r="E13" i="17" s="1"/>
  <c r="J102" i="17"/>
  <c r="I102" i="17"/>
  <c r="H102" i="17"/>
  <c r="G102" i="17"/>
  <c r="F102" i="17"/>
  <c r="J74" i="17"/>
  <c r="I74" i="17"/>
  <c r="H74" i="17"/>
  <c r="G74" i="17"/>
  <c r="F74" i="17"/>
  <c r="B12" i="4"/>
  <c r="B11" i="4"/>
  <c r="B10" i="4"/>
  <c r="B9" i="4"/>
  <c r="B8" i="4"/>
  <c r="B7" i="4"/>
  <c r="I16" i="16"/>
  <c r="I123" i="16" s="1"/>
  <c r="G16" i="16"/>
  <c r="C16" i="16"/>
  <c r="B10" i="16" s="1"/>
  <c r="S18" i="11"/>
  <c r="L56" i="17" l="1"/>
  <c r="L60" i="17"/>
  <c r="J13" i="17"/>
  <c r="J30" i="17"/>
  <c r="J40" i="17"/>
  <c r="J19" i="17"/>
  <c r="J33" i="17"/>
  <c r="J16" i="17"/>
  <c r="J20" i="17"/>
  <c r="J29" i="17"/>
  <c r="G123" i="16"/>
  <c r="G10" i="16"/>
  <c r="B123" i="16"/>
  <c r="J12" i="17" s="1"/>
  <c r="E19" i="17"/>
  <c r="E15" i="17"/>
  <c r="E40" i="17"/>
  <c r="F40" i="17"/>
  <c r="G20" i="17"/>
  <c r="G29" i="17"/>
  <c r="H40" i="17"/>
  <c r="I20" i="17"/>
  <c r="I29" i="17"/>
  <c r="E18" i="17"/>
  <c r="E14" i="17"/>
  <c r="F19" i="17"/>
  <c r="G30" i="17"/>
  <c r="G39" i="17"/>
  <c r="H19" i="17"/>
  <c r="I30" i="17"/>
  <c r="I39" i="17"/>
  <c r="E17" i="17"/>
  <c r="E29" i="17"/>
  <c r="F20" i="17"/>
  <c r="F29" i="17"/>
  <c r="G40" i="17"/>
  <c r="H20" i="17"/>
  <c r="E30" i="17"/>
  <c r="E39" i="17"/>
  <c r="F30" i="17"/>
  <c r="F39" i="17"/>
  <c r="G19" i="17"/>
  <c r="E16" i="16"/>
  <c r="L59" i="17" l="1"/>
  <c r="L57" i="17"/>
  <c r="L58" i="17"/>
  <c r="E10" i="16"/>
  <c r="E123" i="16"/>
  <c r="K16" i="16"/>
  <c r="K123" i="16" s="1"/>
  <c r="I10" i="16" l="1"/>
  <c r="AR16" i="16"/>
  <c r="AU16" i="16" s="1"/>
  <c r="Z16" i="16"/>
  <c r="AC16" i="16" s="1"/>
  <c r="N10" i="16"/>
  <c r="I46" i="16" s="1"/>
  <c r="AR58" i="16"/>
  <c r="Z31" i="16"/>
  <c r="Z70" i="16"/>
  <c r="AR46" i="16"/>
  <c r="Z58" i="16"/>
  <c r="Z82" i="16"/>
  <c r="AR31" i="16"/>
  <c r="Z94" i="16"/>
  <c r="Z46" i="16"/>
  <c r="AR70" i="16"/>
  <c r="E25" i="17" l="1"/>
  <c r="E35" i="17"/>
  <c r="E28" i="17"/>
  <c r="E38" i="17"/>
  <c r="E23" i="17"/>
  <c r="E27" i="17"/>
  <c r="E37" i="17"/>
  <c r="E24" i="17"/>
  <c r="E34" i="17"/>
  <c r="E26" i="17"/>
  <c r="E36" i="17"/>
  <c r="I16" i="10"/>
  <c r="I123" i="10" s="1"/>
  <c r="E42" i="17" s="1"/>
  <c r="K20" i="10"/>
  <c r="F15" i="17"/>
  <c r="K23" i="10"/>
  <c r="F18" i="17"/>
  <c r="F13" i="17"/>
  <c r="K22" i="10"/>
  <c r="F17" i="17"/>
  <c r="K19" i="10"/>
  <c r="F14" i="17"/>
  <c r="K21" i="10"/>
  <c r="F16" i="17"/>
  <c r="G16" i="10"/>
  <c r="G10" i="10" s="1"/>
  <c r="E16" i="10"/>
  <c r="K16" i="10" l="1"/>
  <c r="K123" i="10" s="1"/>
  <c r="E52" i="17" s="1"/>
  <c r="E10" i="10"/>
  <c r="L39" i="17"/>
  <c r="L40" i="17"/>
  <c r="G123" i="10"/>
  <c r="E123" i="10"/>
  <c r="E22" i="17" s="1"/>
  <c r="AF117" i="16"/>
  <c r="N117" i="16"/>
  <c r="AF116" i="16"/>
  <c r="N116" i="16"/>
  <c r="AF115" i="16"/>
  <c r="N115" i="16"/>
  <c r="AF114" i="16"/>
  <c r="N114" i="16"/>
  <c r="I112" i="16"/>
  <c r="N82" i="16"/>
  <c r="AG70" i="16"/>
  <c r="AF70" i="16"/>
  <c r="AH70" i="16" s="1"/>
  <c r="J106" i="17" s="1"/>
  <c r="O70" i="16"/>
  <c r="N70" i="16"/>
  <c r="P70" i="16" s="1"/>
  <c r="J78" i="17" s="1"/>
  <c r="B66" i="16"/>
  <c r="AF58" i="16"/>
  <c r="AH58" i="16" s="1"/>
  <c r="J105" i="17" s="1"/>
  <c r="N58" i="16"/>
  <c r="P58" i="16" s="1"/>
  <c r="J77" i="17" s="1"/>
  <c r="AF46" i="16"/>
  <c r="AH46" i="16" s="1"/>
  <c r="J104" i="17" s="1"/>
  <c r="N46" i="16"/>
  <c r="AF38" i="16"/>
  <c r="N38" i="16"/>
  <c r="K38" i="16"/>
  <c r="AF37" i="16"/>
  <c r="N37" i="16"/>
  <c r="K37" i="16"/>
  <c r="AF36" i="16"/>
  <c r="N36" i="16"/>
  <c r="K36" i="16"/>
  <c r="AF35" i="16"/>
  <c r="N35" i="16"/>
  <c r="K35" i="16"/>
  <c r="AF34" i="16"/>
  <c r="N34" i="16"/>
  <c r="K34" i="16"/>
  <c r="AF33" i="16"/>
  <c r="N33" i="16"/>
  <c r="K33" i="16"/>
  <c r="G31" i="16"/>
  <c r="AK25" i="16"/>
  <c r="S25" i="16"/>
  <c r="AK24" i="16"/>
  <c r="S24" i="16"/>
  <c r="AK23" i="16"/>
  <c r="S23" i="16"/>
  <c r="AK22" i="16"/>
  <c r="S22" i="16"/>
  <c r="AK21" i="16"/>
  <c r="S21" i="16"/>
  <c r="AK20" i="16"/>
  <c r="S20" i="16"/>
  <c r="AK19" i="16"/>
  <c r="S19" i="16"/>
  <c r="AK18" i="16"/>
  <c r="S18" i="16"/>
  <c r="AF117" i="15"/>
  <c r="N117" i="15"/>
  <c r="AF116" i="15"/>
  <c r="N116" i="15"/>
  <c r="AF115" i="15"/>
  <c r="N115" i="15"/>
  <c r="AF114" i="15"/>
  <c r="N114" i="15"/>
  <c r="N82" i="15"/>
  <c r="P82" i="15" s="1"/>
  <c r="I79" i="17" s="1"/>
  <c r="AG70" i="15"/>
  <c r="AF70" i="15"/>
  <c r="AH70" i="15" s="1"/>
  <c r="I106" i="17" s="1"/>
  <c r="O70" i="15"/>
  <c r="N70" i="15"/>
  <c r="P70" i="15" s="1"/>
  <c r="I78" i="17" s="1"/>
  <c r="B66" i="15"/>
  <c r="AF58" i="15"/>
  <c r="AH58" i="15" s="1"/>
  <c r="I105" i="17" s="1"/>
  <c r="N58" i="15"/>
  <c r="P58" i="15" s="1"/>
  <c r="I77" i="17" s="1"/>
  <c r="AF46" i="15"/>
  <c r="N46" i="15"/>
  <c r="AF38" i="15"/>
  <c r="N38" i="15"/>
  <c r="K38" i="15"/>
  <c r="AF37" i="15"/>
  <c r="N37" i="15"/>
  <c r="K37" i="15"/>
  <c r="AF36" i="15"/>
  <c r="N36" i="15"/>
  <c r="K36" i="15"/>
  <c r="AF35" i="15"/>
  <c r="N35" i="15"/>
  <c r="K35" i="15"/>
  <c r="K34" i="15"/>
  <c r="G31" i="15"/>
  <c r="AK25" i="15"/>
  <c r="S25" i="15"/>
  <c r="AK24" i="15"/>
  <c r="S24" i="15"/>
  <c r="S23" i="15"/>
  <c r="S22" i="15"/>
  <c r="S21" i="15"/>
  <c r="S20" i="15"/>
  <c r="S19" i="15"/>
  <c r="S18" i="15"/>
  <c r="H79" i="17"/>
  <c r="H106" i="17"/>
  <c r="H78" i="17"/>
  <c r="H105" i="17"/>
  <c r="H77" i="17"/>
  <c r="H104" i="17"/>
  <c r="H75" i="17" l="1"/>
  <c r="R46" i="10"/>
  <c r="S46" i="9" s="1"/>
  <c r="U46" i="9" s="1"/>
  <c r="N10" i="10"/>
  <c r="I31" i="10" s="1"/>
  <c r="I10" i="10"/>
  <c r="E32" i="17" s="1"/>
  <c r="R94" i="10"/>
  <c r="S94" i="9" s="1"/>
  <c r="U94" i="9" s="1"/>
  <c r="P82" i="16"/>
  <c r="J79" i="17" s="1"/>
  <c r="P46" i="15"/>
  <c r="I76" i="17" s="1"/>
  <c r="AH46" i="15"/>
  <c r="I104" i="17" s="1"/>
  <c r="K46" i="16"/>
  <c r="I80" i="17"/>
  <c r="P31" i="16"/>
  <c r="J75" i="17" s="1"/>
  <c r="F28" i="17"/>
  <c r="F38" i="17"/>
  <c r="F23" i="17"/>
  <c r="F27" i="17"/>
  <c r="F37" i="17"/>
  <c r="F36" i="17"/>
  <c r="F26" i="17"/>
  <c r="F25" i="17"/>
  <c r="F24" i="17"/>
  <c r="H80" i="17"/>
  <c r="P31" i="15"/>
  <c r="I75" i="17" s="1"/>
  <c r="J80" i="17"/>
  <c r="AH31" i="16"/>
  <c r="J87" i="17"/>
  <c r="G16" i="17"/>
  <c r="G18" i="17"/>
  <c r="F12" i="17"/>
  <c r="G17" i="17"/>
  <c r="J112" i="17"/>
  <c r="P46" i="16"/>
  <c r="J76" i="17" s="1"/>
  <c r="K31" i="16"/>
  <c r="H76" i="17"/>
  <c r="AF117" i="11"/>
  <c r="N117" i="11"/>
  <c r="AF116" i="11"/>
  <c r="N116" i="11"/>
  <c r="AF115" i="11"/>
  <c r="N115" i="11"/>
  <c r="AF114" i="11"/>
  <c r="N114" i="11"/>
  <c r="N82" i="11"/>
  <c r="P82" i="11" s="1"/>
  <c r="G79" i="17" s="1"/>
  <c r="AF70" i="11"/>
  <c r="AH70" i="11" s="1"/>
  <c r="G106" i="17" s="1"/>
  <c r="O70" i="11"/>
  <c r="N70" i="11"/>
  <c r="P70" i="11" s="1"/>
  <c r="G78" i="17" s="1"/>
  <c r="B66" i="11"/>
  <c r="AF58" i="11"/>
  <c r="AH58" i="11" s="1"/>
  <c r="G105" i="17" s="1"/>
  <c r="N58" i="11"/>
  <c r="P58" i="11" s="1"/>
  <c r="G77" i="17" s="1"/>
  <c r="AF46" i="11"/>
  <c r="N46" i="11"/>
  <c r="AF38" i="11"/>
  <c r="N38" i="11"/>
  <c r="K38" i="11"/>
  <c r="AF37" i="11"/>
  <c r="N37" i="11"/>
  <c r="K37" i="11"/>
  <c r="AF36" i="11"/>
  <c r="N36" i="11"/>
  <c r="K36" i="11"/>
  <c r="N35" i="11"/>
  <c r="K35" i="11"/>
  <c r="N34" i="11"/>
  <c r="K34" i="11"/>
  <c r="N33" i="11"/>
  <c r="G31" i="11"/>
  <c r="AK25" i="11"/>
  <c r="S25" i="11"/>
  <c r="AK24" i="11"/>
  <c r="S24" i="11"/>
  <c r="S23" i="11"/>
  <c r="S22" i="11"/>
  <c r="S21" i="11"/>
  <c r="S20" i="11"/>
  <c r="S19" i="11"/>
  <c r="N115" i="10"/>
  <c r="N116" i="10"/>
  <c r="N117" i="10"/>
  <c r="X114" i="10"/>
  <c r="N82" i="10"/>
  <c r="P82" i="10" s="1"/>
  <c r="X58" i="10"/>
  <c r="Z58" i="10" s="1"/>
  <c r="N58" i="10"/>
  <c r="P58" i="10" s="1"/>
  <c r="X70" i="10"/>
  <c r="Z70" i="10" s="1"/>
  <c r="N70" i="10"/>
  <c r="P70" i="10" s="1"/>
  <c r="K38" i="10"/>
  <c r="K37" i="10"/>
  <c r="K36" i="10"/>
  <c r="K35" i="10"/>
  <c r="K34" i="10"/>
  <c r="G31" i="10"/>
  <c r="X35" i="10"/>
  <c r="X36" i="10"/>
  <c r="X37" i="10"/>
  <c r="X38" i="10"/>
  <c r="N34" i="10"/>
  <c r="N35" i="10"/>
  <c r="X94" i="9" l="1"/>
  <c r="Z94" i="9" s="1"/>
  <c r="AC94" i="9"/>
  <c r="X46" i="9"/>
  <c r="Z46" i="9" s="1"/>
  <c r="AC46" i="9"/>
  <c r="G106" i="16"/>
  <c r="K106" i="16" s="1"/>
  <c r="G112" i="16"/>
  <c r="E79" i="17"/>
  <c r="P123" i="15"/>
  <c r="I73" i="17" s="1"/>
  <c r="J103" i="17"/>
  <c r="AH123" i="16"/>
  <c r="J101" i="17" s="1"/>
  <c r="AB58" i="10"/>
  <c r="AK58" i="9" s="1"/>
  <c r="AM58" i="9" s="1"/>
  <c r="E105" i="17"/>
  <c r="E77" i="17"/>
  <c r="R58" i="10"/>
  <c r="S58" i="9" s="1"/>
  <c r="U58" i="9" s="1"/>
  <c r="R70" i="10"/>
  <c r="S70" i="9" s="1"/>
  <c r="U70" i="9" s="1"/>
  <c r="E78" i="17"/>
  <c r="R82" i="10"/>
  <c r="S82" i="9" s="1"/>
  <c r="U82" i="9" s="1"/>
  <c r="AB70" i="10"/>
  <c r="AK70" i="9" s="1"/>
  <c r="AM70" i="9" s="1"/>
  <c r="E106" i="17"/>
  <c r="P123" i="16"/>
  <c r="J73" i="17" s="1"/>
  <c r="H73" i="17"/>
  <c r="F22" i="17"/>
  <c r="P31" i="11"/>
  <c r="G80" i="17"/>
  <c r="P46" i="11"/>
  <c r="G76" i="17" s="1"/>
  <c r="AH46" i="11"/>
  <c r="G104" i="17" s="1"/>
  <c r="K31" i="10"/>
  <c r="M37" i="6"/>
  <c r="X34" i="10" s="1"/>
  <c r="M38" i="6"/>
  <c r="AF35" i="11" s="1"/>
  <c r="X58" i="9" l="1"/>
  <c r="Z58" i="9" s="1"/>
  <c r="AC58" i="9"/>
  <c r="AP58" i="9"/>
  <c r="AR58" i="9" s="1"/>
  <c r="AU58" i="9"/>
  <c r="X70" i="9"/>
  <c r="Z70" i="9" s="1"/>
  <c r="AC70" i="9"/>
  <c r="AP70" i="9"/>
  <c r="AR70" i="9" s="1"/>
  <c r="AU70" i="9"/>
  <c r="X82" i="9"/>
  <c r="Z82" i="9" s="1"/>
  <c r="AC82" i="9"/>
  <c r="AF34" i="11"/>
  <c r="K115" i="16"/>
  <c r="K114" i="16"/>
  <c r="K117" i="16"/>
  <c r="K116" i="16"/>
  <c r="F33" i="17"/>
  <c r="F35" i="17"/>
  <c r="F34" i="17"/>
  <c r="G106" i="10"/>
  <c r="K106" i="10" s="1"/>
  <c r="G112" i="10"/>
  <c r="G28" i="17"/>
  <c r="G38" i="17"/>
  <c r="G26" i="17"/>
  <c r="G36" i="17"/>
  <c r="G27" i="17"/>
  <c r="G37" i="17"/>
  <c r="P123" i="11"/>
  <c r="G73" i="17" s="1"/>
  <c r="G75" i="17"/>
  <c r="E76" i="17"/>
  <c r="H18" i="17"/>
  <c r="K23" i="11"/>
  <c r="K21" i="11"/>
  <c r="H16" i="17"/>
  <c r="H17" i="17"/>
  <c r="K22" i="11"/>
  <c r="K112" i="16" l="1"/>
  <c r="F52" i="17"/>
  <c r="G14" i="17"/>
  <c r="G15" i="17"/>
  <c r="F42" i="17"/>
  <c r="G13" i="17"/>
  <c r="C16" i="11"/>
  <c r="K115" i="10"/>
  <c r="K117" i="10"/>
  <c r="K114" i="10"/>
  <c r="K116" i="10"/>
  <c r="AG70" i="11"/>
  <c r="I112" i="10" l="1"/>
  <c r="G25" i="17"/>
  <c r="B10" i="11"/>
  <c r="B123" i="11"/>
  <c r="G12" i="17" s="1"/>
  <c r="G23" i="17"/>
  <c r="E16" i="11"/>
  <c r="F32" i="17"/>
  <c r="G24" i="17"/>
  <c r="K112" i="10"/>
  <c r="U112" i="10"/>
  <c r="H38" i="17"/>
  <c r="H28" i="17"/>
  <c r="H26" i="17"/>
  <c r="H36" i="17"/>
  <c r="H37" i="17"/>
  <c r="H27" i="17"/>
  <c r="AC112" i="16"/>
  <c r="J95" i="17" s="1"/>
  <c r="AU112" i="16"/>
  <c r="J117" i="17" s="1"/>
  <c r="C63" i="17"/>
  <c r="C64" i="17"/>
  <c r="C65" i="17"/>
  <c r="C62" i="17"/>
  <c r="C67" i="17"/>
  <c r="C68" i="17"/>
  <c r="C69" i="17"/>
  <c r="C66" i="17"/>
  <c r="C44" i="17"/>
  <c r="J44" i="17" s="1"/>
  <c r="C45" i="17"/>
  <c r="J45" i="17" s="1"/>
  <c r="C46" i="17"/>
  <c r="J46" i="17" s="1"/>
  <c r="C47" i="17"/>
  <c r="J47" i="17" s="1"/>
  <c r="C48" i="17"/>
  <c r="J48" i="17" s="1"/>
  <c r="C49" i="17"/>
  <c r="J49" i="17" s="1"/>
  <c r="C50" i="17"/>
  <c r="J50" i="17" s="1"/>
  <c r="C43" i="17"/>
  <c r="J43" i="17" s="1"/>
  <c r="C54" i="17"/>
  <c r="J54" i="17" s="1"/>
  <c r="C55" i="17"/>
  <c r="J55" i="17" s="1"/>
  <c r="C56" i="17"/>
  <c r="J56" i="17" s="1"/>
  <c r="C57" i="17"/>
  <c r="J57" i="17" s="1"/>
  <c r="C58" i="17"/>
  <c r="J58" i="17" s="1"/>
  <c r="C59" i="17"/>
  <c r="J59" i="17" s="1"/>
  <c r="C60" i="17"/>
  <c r="J60" i="17" s="1"/>
  <c r="C53" i="17"/>
  <c r="J53" i="17" s="1"/>
  <c r="K18" i="11" l="1"/>
  <c r="G53" i="17" s="1"/>
  <c r="G33" i="17"/>
  <c r="K33" i="11"/>
  <c r="E123" i="11"/>
  <c r="G22" i="17" s="1"/>
  <c r="E10" i="11"/>
  <c r="I16" i="17"/>
  <c r="K22" i="15"/>
  <c r="I57" i="17" s="1"/>
  <c r="I17" i="17"/>
  <c r="I18" i="17"/>
  <c r="H57" i="17"/>
  <c r="F57" i="17"/>
  <c r="E57" i="17"/>
  <c r="G57" i="17"/>
  <c r="H56" i="17"/>
  <c r="F56" i="17"/>
  <c r="E56" i="17"/>
  <c r="G56" i="17"/>
  <c r="I50" i="17"/>
  <c r="G50" i="17"/>
  <c r="H50" i="17"/>
  <c r="F50" i="17"/>
  <c r="E50" i="17"/>
  <c r="I46" i="17"/>
  <c r="G46" i="17"/>
  <c r="H46" i="17"/>
  <c r="F46" i="17"/>
  <c r="E46" i="17"/>
  <c r="J69" i="17"/>
  <c r="G69" i="17"/>
  <c r="F69" i="17"/>
  <c r="E69" i="17"/>
  <c r="J65" i="17"/>
  <c r="G65" i="17"/>
  <c r="F65" i="17"/>
  <c r="E65" i="17"/>
  <c r="F43" i="17"/>
  <c r="E43" i="17"/>
  <c r="J66" i="17"/>
  <c r="E66" i="17"/>
  <c r="F66" i="17"/>
  <c r="H60" i="17"/>
  <c r="F60" i="17"/>
  <c r="E60" i="17"/>
  <c r="I60" i="17"/>
  <c r="G60" i="17"/>
  <c r="I59" i="17"/>
  <c r="G59" i="17"/>
  <c r="H59" i="17"/>
  <c r="F59" i="17"/>
  <c r="E59" i="17"/>
  <c r="F55" i="17"/>
  <c r="E55" i="17"/>
  <c r="I49" i="17"/>
  <c r="G49" i="17"/>
  <c r="H49" i="17"/>
  <c r="F49" i="17"/>
  <c r="E49" i="17"/>
  <c r="F45" i="17"/>
  <c r="E45" i="17"/>
  <c r="J68" i="17"/>
  <c r="H68" i="17"/>
  <c r="F68" i="17"/>
  <c r="E68" i="17"/>
  <c r="J64" i="17"/>
  <c r="H64" i="17"/>
  <c r="F64" i="17"/>
  <c r="E64" i="17"/>
  <c r="G58" i="17"/>
  <c r="H58" i="17"/>
  <c r="F58" i="17"/>
  <c r="E58" i="17"/>
  <c r="F54" i="17"/>
  <c r="E54" i="17"/>
  <c r="H48" i="17"/>
  <c r="F48" i="17"/>
  <c r="E48" i="17"/>
  <c r="I48" i="17"/>
  <c r="G48" i="17"/>
  <c r="F44" i="17"/>
  <c r="E44" i="17"/>
  <c r="E67" i="17"/>
  <c r="J67" i="17"/>
  <c r="F67" i="17"/>
  <c r="E63" i="17"/>
  <c r="J63" i="17"/>
  <c r="F63" i="17"/>
  <c r="F53" i="17"/>
  <c r="E53" i="17"/>
  <c r="H47" i="17"/>
  <c r="F47" i="17"/>
  <c r="E47" i="17"/>
  <c r="I47" i="17"/>
  <c r="G47" i="17"/>
  <c r="J62" i="17"/>
  <c r="K21" i="15"/>
  <c r="I56" i="17" s="1"/>
  <c r="K23" i="15"/>
  <c r="I58" i="17" s="1"/>
  <c r="L17" i="17"/>
  <c r="L20" i="17"/>
  <c r="L16" i="17"/>
  <c r="L13" i="17"/>
  <c r="L19" i="17"/>
  <c r="L15" i="17"/>
  <c r="L18" i="17"/>
  <c r="L14" i="17"/>
  <c r="I58" i="16"/>
  <c r="K58" i="16" s="1"/>
  <c r="I94" i="16"/>
  <c r="K94" i="16" s="1"/>
  <c r="I70" i="16"/>
  <c r="K70" i="16" s="1"/>
  <c r="I82" i="16"/>
  <c r="K82" i="16" s="1"/>
  <c r="S10" i="18"/>
  <c r="S9" i="18"/>
  <c r="S8" i="18"/>
  <c r="B66" i="10"/>
  <c r="X46" i="10"/>
  <c r="Z46" i="10" s="1"/>
  <c r="X117" i="10"/>
  <c r="X116" i="10"/>
  <c r="X115" i="10"/>
  <c r="N38" i="10"/>
  <c r="N37" i="10"/>
  <c r="N36" i="10"/>
  <c r="N33" i="10"/>
  <c r="X25" i="10"/>
  <c r="N25" i="10"/>
  <c r="X24" i="10"/>
  <c r="N24" i="10"/>
  <c r="N23" i="10"/>
  <c r="N22" i="10"/>
  <c r="N21" i="10"/>
  <c r="N20" i="10"/>
  <c r="N19" i="10"/>
  <c r="C16" i="10"/>
  <c r="B10" i="10" s="1"/>
  <c r="P16" i="10" l="1"/>
  <c r="P31" i="10"/>
  <c r="R31" i="10" s="1"/>
  <c r="S31" i="9" s="1"/>
  <c r="U31" i="9" s="1"/>
  <c r="U31" i="10"/>
  <c r="U16" i="10"/>
  <c r="G45" i="17"/>
  <c r="G44" i="17"/>
  <c r="G43" i="17"/>
  <c r="AE112" i="10"/>
  <c r="K19" i="11"/>
  <c r="G54" i="17" s="1"/>
  <c r="G34" i="17"/>
  <c r="K20" i="11"/>
  <c r="G55" i="17" s="1"/>
  <c r="G35" i="17"/>
  <c r="K31" i="11"/>
  <c r="G16" i="11"/>
  <c r="K16" i="11" s="1"/>
  <c r="I28" i="17"/>
  <c r="I38" i="17"/>
  <c r="L38" i="17" s="1"/>
  <c r="I37" i="17"/>
  <c r="L37" i="17" s="1"/>
  <c r="I27" i="17"/>
  <c r="I36" i="17"/>
  <c r="L36" i="17" s="1"/>
  <c r="I26" i="17"/>
  <c r="E104" i="17"/>
  <c r="AB46" i="10"/>
  <c r="AK46" i="9" s="1"/>
  <c r="AM46" i="9" s="1"/>
  <c r="L48" i="17"/>
  <c r="L46" i="17"/>
  <c r="L47" i="17"/>
  <c r="L49" i="17"/>
  <c r="L50" i="17"/>
  <c r="B123" i="10"/>
  <c r="F106" i="17"/>
  <c r="L106" i="17" s="1"/>
  <c r="F78" i="17"/>
  <c r="L78" i="17" s="1"/>
  <c r="AU46" i="9" l="1"/>
  <c r="AP46" i="9"/>
  <c r="AR46" i="9" s="1"/>
  <c r="X31" i="9"/>
  <c r="Z31" i="9" s="1"/>
  <c r="AC31" i="9"/>
  <c r="R16" i="10"/>
  <c r="U16" i="9"/>
  <c r="Z123" i="16"/>
  <c r="U16" i="16"/>
  <c r="X16" i="16" s="1"/>
  <c r="U16" i="15"/>
  <c r="U16" i="11"/>
  <c r="X16" i="11" s="1"/>
  <c r="Z16" i="11" s="1"/>
  <c r="AC16" i="11" s="1"/>
  <c r="G87" i="17" s="1"/>
  <c r="I16" i="11"/>
  <c r="I123" i="11" s="1"/>
  <c r="G42" i="17" s="1"/>
  <c r="H14" i="17"/>
  <c r="H13" i="17"/>
  <c r="H15" i="17"/>
  <c r="H24" i="17"/>
  <c r="G123" i="11"/>
  <c r="G10" i="11"/>
  <c r="G106" i="11"/>
  <c r="G112" i="11"/>
  <c r="K123" i="11"/>
  <c r="G52" i="17" s="1"/>
  <c r="P123" i="10"/>
  <c r="E73" i="17" s="1"/>
  <c r="E87" i="17"/>
  <c r="E12" i="17"/>
  <c r="E88" i="17"/>
  <c r="E80" i="17"/>
  <c r="E75" i="17"/>
  <c r="E74" i="17"/>
  <c r="L74" i="17" s="1"/>
  <c r="S82" i="11"/>
  <c r="X16" i="9" l="1"/>
  <c r="U123" i="9"/>
  <c r="L12" i="17"/>
  <c r="E8" i="18" s="1"/>
  <c r="H23" i="17"/>
  <c r="F88" i="17"/>
  <c r="K106" i="11"/>
  <c r="K117" i="11"/>
  <c r="H25" i="17"/>
  <c r="H12" i="17"/>
  <c r="N10" i="11"/>
  <c r="I10" i="11"/>
  <c r="G32" i="17" s="1"/>
  <c r="R123" i="10"/>
  <c r="I46" i="10"/>
  <c r="U46" i="10" s="1"/>
  <c r="F80" i="17"/>
  <c r="L80" i="17" s="1"/>
  <c r="F79" i="17"/>
  <c r="L79" i="17" s="1"/>
  <c r="F77" i="17"/>
  <c r="L77" i="17" s="1"/>
  <c r="F105" i="17"/>
  <c r="L105" i="17" s="1"/>
  <c r="F104" i="17"/>
  <c r="L104" i="17" s="1"/>
  <c r="F76" i="17"/>
  <c r="L76" i="17" s="1"/>
  <c r="F75" i="17"/>
  <c r="L75" i="17" s="1"/>
  <c r="E62" i="17"/>
  <c r="F103" i="17"/>
  <c r="X123" i="9" l="1"/>
  <c r="Z16" i="9"/>
  <c r="AE46" i="10"/>
  <c r="E114" i="17" s="1"/>
  <c r="E89" i="17"/>
  <c r="H22" i="17"/>
  <c r="K114" i="11"/>
  <c r="I112" i="11"/>
  <c r="G66" i="17"/>
  <c r="K115" i="11"/>
  <c r="G63" i="17" s="1"/>
  <c r="G67" i="17"/>
  <c r="K116" i="11"/>
  <c r="G64" i="17" s="1"/>
  <c r="G68" i="17"/>
  <c r="E117" i="17"/>
  <c r="F101" i="17"/>
  <c r="F73" i="17"/>
  <c r="L73" i="17" s="1"/>
  <c r="L84" i="17" s="1"/>
  <c r="I58" i="10"/>
  <c r="I82" i="10"/>
  <c r="I70" i="10"/>
  <c r="AC16" i="9" l="1"/>
  <c r="F87" i="17" s="1"/>
  <c r="Z123" i="9"/>
  <c r="I13" i="17"/>
  <c r="H44" i="17"/>
  <c r="H45" i="17"/>
  <c r="I23" i="17"/>
  <c r="K82" i="10"/>
  <c r="U82" i="10"/>
  <c r="E92" i="17" s="1"/>
  <c r="AE58" i="10"/>
  <c r="E115" i="17" s="1"/>
  <c r="U58" i="10"/>
  <c r="E90" i="17" s="1"/>
  <c r="AE70" i="10"/>
  <c r="E116" i="17" s="1"/>
  <c r="U70" i="10"/>
  <c r="E91" i="17" s="1"/>
  <c r="K112" i="11"/>
  <c r="AC112" i="11"/>
  <c r="G95" i="17" s="1"/>
  <c r="G62" i="17"/>
  <c r="AU112" i="11"/>
  <c r="G117" i="17" s="1"/>
  <c r="H55" i="17"/>
  <c r="H35" i="17"/>
  <c r="H34" i="17"/>
  <c r="H54" i="17"/>
  <c r="H53" i="17"/>
  <c r="H33" i="17"/>
  <c r="E95" i="17"/>
  <c r="S94" i="11"/>
  <c r="K58" i="10"/>
  <c r="K70" i="10"/>
  <c r="F43" i="18"/>
  <c r="M41" i="6"/>
  <c r="M39" i="6"/>
  <c r="M40" i="6"/>
  <c r="M36" i="6"/>
  <c r="X33" i="10" s="1"/>
  <c r="AE31" i="10" l="1"/>
  <c r="E113" i="17" s="1"/>
  <c r="Z31" i="10"/>
  <c r="H87" i="17"/>
  <c r="H69" i="17"/>
  <c r="AF33" i="11"/>
  <c r="AH31" i="11" s="1"/>
  <c r="AH31" i="15"/>
  <c r="I15" i="17"/>
  <c r="I14" i="17"/>
  <c r="C16" i="15"/>
  <c r="X16" i="15"/>
  <c r="AK58" i="11"/>
  <c r="H42" i="17"/>
  <c r="H43" i="17"/>
  <c r="H52" i="17"/>
  <c r="F62" i="17"/>
  <c r="X18" i="10"/>
  <c r="AK18" i="15"/>
  <c r="AK18" i="11"/>
  <c r="AK21" i="15"/>
  <c r="AK21" i="11"/>
  <c r="AK23" i="15"/>
  <c r="AK23" i="11"/>
  <c r="AK19" i="15"/>
  <c r="AK19" i="11"/>
  <c r="AK22" i="15"/>
  <c r="AK22" i="11"/>
  <c r="AK20" i="15"/>
  <c r="AK20" i="11"/>
  <c r="X20" i="10"/>
  <c r="X23" i="10"/>
  <c r="X19" i="10"/>
  <c r="X22" i="10"/>
  <c r="X21" i="10"/>
  <c r="I94" i="10"/>
  <c r="AB31" i="10" l="1"/>
  <c r="AK31" i="9" s="1"/>
  <c r="AM31" i="9" s="1"/>
  <c r="E103" i="17"/>
  <c r="H101" i="17"/>
  <c r="H103" i="17"/>
  <c r="I103" i="17"/>
  <c r="AH123" i="15"/>
  <c r="I101" i="17" s="1"/>
  <c r="AE16" i="10"/>
  <c r="Z16" i="10"/>
  <c r="AM16" i="9" s="1"/>
  <c r="B10" i="15"/>
  <c r="B123" i="15"/>
  <c r="I12" i="17" s="1"/>
  <c r="I25" i="17"/>
  <c r="I24" i="17"/>
  <c r="E16" i="15"/>
  <c r="F93" i="17"/>
  <c r="F114" i="17"/>
  <c r="H65" i="17"/>
  <c r="K94" i="10"/>
  <c r="U94" i="10"/>
  <c r="H32" i="17"/>
  <c r="F89" i="17"/>
  <c r="AH123" i="11"/>
  <c r="G101" i="17" s="1"/>
  <c r="G103" i="17"/>
  <c r="S31" i="11"/>
  <c r="K46" i="10"/>
  <c r="AP31" i="9" l="1"/>
  <c r="AR31" i="9" s="1"/>
  <c r="AK31" i="11" s="1"/>
  <c r="AM31" i="11" s="1"/>
  <c r="AU31" i="11" s="1"/>
  <c r="AU31" i="9"/>
  <c r="F113" i="17" s="1"/>
  <c r="AP16" i="9"/>
  <c r="AM123" i="9"/>
  <c r="L103" i="17"/>
  <c r="AM16" i="16"/>
  <c r="AP16" i="16" s="1"/>
  <c r="AM16" i="15"/>
  <c r="AP16" i="15" s="1"/>
  <c r="H112" i="17"/>
  <c r="AM16" i="11"/>
  <c r="AP16" i="11" s="1"/>
  <c r="AR16" i="11" s="1"/>
  <c r="AU16" i="11" s="1"/>
  <c r="G112" i="17" s="1"/>
  <c r="E10" i="15"/>
  <c r="Z16" i="15" s="1"/>
  <c r="E123" i="15"/>
  <c r="I22" i="17" s="1"/>
  <c r="F91" i="17"/>
  <c r="F92" i="17"/>
  <c r="F116" i="17"/>
  <c r="F115" i="17"/>
  <c r="F90" i="17"/>
  <c r="H67" i="17"/>
  <c r="H63" i="17"/>
  <c r="H66" i="17"/>
  <c r="E93" i="17"/>
  <c r="E112" i="17"/>
  <c r="Z123" i="10"/>
  <c r="E102" i="17"/>
  <c r="L102" i="17" s="1"/>
  <c r="AB16" i="10"/>
  <c r="S58" i="11"/>
  <c r="U58" i="11" s="1"/>
  <c r="S46" i="11"/>
  <c r="U46" i="11" s="1"/>
  <c r="U82" i="11"/>
  <c r="AM58" i="11"/>
  <c r="U94" i="11"/>
  <c r="U31" i="11"/>
  <c r="AC31" i="11" s="1"/>
  <c r="AP123" i="9" l="1"/>
  <c r="AR16" i="9"/>
  <c r="AR16" i="15"/>
  <c r="AB123" i="10"/>
  <c r="E9" i="18"/>
  <c r="I44" i="17"/>
  <c r="L44" i="17" s="1"/>
  <c r="I34" i="17"/>
  <c r="L34" i="17" s="1"/>
  <c r="L54" i="17" s="1"/>
  <c r="K19" i="15"/>
  <c r="I54" i="17" s="1"/>
  <c r="I45" i="17"/>
  <c r="L45" i="17" s="1"/>
  <c r="K20" i="15"/>
  <c r="I55" i="17" s="1"/>
  <c r="I35" i="17"/>
  <c r="L35" i="17" s="1"/>
  <c r="L55" i="17" s="1"/>
  <c r="G16" i="15"/>
  <c r="AC16" i="15" s="1"/>
  <c r="I87" i="17" s="1"/>
  <c r="L87" i="17" s="1"/>
  <c r="I33" i="17"/>
  <c r="L33" i="17" s="1"/>
  <c r="L53" i="17" s="1"/>
  <c r="K18" i="15"/>
  <c r="I53" i="17" s="1"/>
  <c r="X82" i="11"/>
  <c r="Z82" i="11" s="1"/>
  <c r="AP58" i="11"/>
  <c r="AR58" i="11" s="1"/>
  <c r="X58" i="11"/>
  <c r="Z58" i="11" s="1"/>
  <c r="X94" i="11"/>
  <c r="Z94" i="11" s="1"/>
  <c r="AP31" i="11"/>
  <c r="AR31" i="11" s="1"/>
  <c r="G113" i="17"/>
  <c r="X31" i="11"/>
  <c r="Z31" i="11" s="1"/>
  <c r="G88" i="17"/>
  <c r="H62" i="17"/>
  <c r="H117" i="17"/>
  <c r="H95" i="17"/>
  <c r="E101" i="17"/>
  <c r="L101" i="17" s="1"/>
  <c r="L109" i="17" s="1"/>
  <c r="X46" i="11"/>
  <c r="I82" i="11"/>
  <c r="K82" i="11" s="1"/>
  <c r="I70" i="11"/>
  <c r="K70" i="11" s="1"/>
  <c r="AU16" i="9" l="1"/>
  <c r="AR123" i="9"/>
  <c r="AU16" i="15"/>
  <c r="I112" i="17" s="1"/>
  <c r="G10" i="15"/>
  <c r="G123" i="15"/>
  <c r="K16" i="15"/>
  <c r="I16" i="15"/>
  <c r="I123" i="15" s="1"/>
  <c r="I42" i="17" s="1"/>
  <c r="L42" i="17" s="1"/>
  <c r="I43" i="17"/>
  <c r="L43" i="17" s="1"/>
  <c r="AC82" i="11"/>
  <c r="G92" i="17" s="1"/>
  <c r="Z46" i="11"/>
  <c r="F60" i="18"/>
  <c r="I46" i="11"/>
  <c r="I58" i="11"/>
  <c r="I94" i="11"/>
  <c r="AC94" i="11" s="1"/>
  <c r="AK46" i="11"/>
  <c r="AM46" i="11" s="1"/>
  <c r="AK70" i="11"/>
  <c r="AM70" i="11" s="1"/>
  <c r="AU123" i="9" l="1"/>
  <c r="F112" i="17"/>
  <c r="L112" i="17" s="1"/>
  <c r="K33" i="15"/>
  <c r="K31" i="15" s="1"/>
  <c r="K123" i="15"/>
  <c r="I52" i="17" s="1"/>
  <c r="N10" i="15"/>
  <c r="I10" i="15"/>
  <c r="I32" i="17" s="1"/>
  <c r="L32" i="17" s="1"/>
  <c r="L52" i="17" s="1"/>
  <c r="K8" i="18"/>
  <c r="D20" i="20" s="1"/>
  <c r="E20" i="20" s="1"/>
  <c r="K58" i="11"/>
  <c r="AU58" i="11"/>
  <c r="G115" i="17" s="1"/>
  <c r="AC58" i="11"/>
  <c r="G90" i="17" s="1"/>
  <c r="AP70" i="11"/>
  <c r="AR70" i="11" s="1"/>
  <c r="AU70" i="11"/>
  <c r="G116" i="17" s="1"/>
  <c r="K46" i="11"/>
  <c r="AC46" i="11"/>
  <c r="G89" i="17" s="1"/>
  <c r="AU46" i="11"/>
  <c r="K94" i="11"/>
  <c r="G93" i="17"/>
  <c r="AM123" i="11"/>
  <c r="AP46" i="11"/>
  <c r="S70" i="11"/>
  <c r="U70" i="11" s="1"/>
  <c r="AE123" i="10"/>
  <c r="E111" i="17" s="1"/>
  <c r="E119" i="17" s="1"/>
  <c r="D39" i="20" l="1"/>
  <c r="E39" i="20" s="1"/>
  <c r="D21" i="20"/>
  <c r="E21" i="20" s="1"/>
  <c r="E10" i="18"/>
  <c r="D12" i="20" s="1"/>
  <c r="K9" i="18"/>
  <c r="D24" i="20" s="1"/>
  <c r="E24" i="20" s="1"/>
  <c r="G112" i="15"/>
  <c r="G106" i="15"/>
  <c r="AK70" i="15"/>
  <c r="U123" i="11"/>
  <c r="AC70" i="11"/>
  <c r="G91" i="17" s="1"/>
  <c r="S82" i="15"/>
  <c r="S58" i="15"/>
  <c r="AK58" i="15"/>
  <c r="S94" i="15"/>
  <c r="H113" i="17"/>
  <c r="H88" i="17"/>
  <c r="AP123" i="11"/>
  <c r="AR46" i="11"/>
  <c r="X70" i="11"/>
  <c r="D25" i="20" l="1"/>
  <c r="E25" i="20" s="1"/>
  <c r="I68" i="17"/>
  <c r="K106" i="15"/>
  <c r="I69" i="17"/>
  <c r="S46" i="15"/>
  <c r="X123" i="11"/>
  <c r="Z70" i="11"/>
  <c r="Z123" i="11" s="1"/>
  <c r="AU123" i="11"/>
  <c r="G111" i="17" s="1"/>
  <c r="G119" i="17" s="1"/>
  <c r="G114" i="17"/>
  <c r="AR123" i="11"/>
  <c r="AK31" i="15"/>
  <c r="S31" i="15"/>
  <c r="M63" i="6" l="1"/>
  <c r="N106" i="9" s="1"/>
  <c r="AC106" i="9" s="1"/>
  <c r="AC123" i="9" s="1"/>
  <c r="K117" i="15"/>
  <c r="I65" i="17" s="1"/>
  <c r="L65" i="17" s="1"/>
  <c r="K116" i="15"/>
  <c r="I64" i="17" s="1"/>
  <c r="L64" i="17" s="1"/>
  <c r="I112" i="15"/>
  <c r="K114" i="15"/>
  <c r="I66" i="17"/>
  <c r="K115" i="15"/>
  <c r="I63" i="17" s="1"/>
  <c r="L63" i="17" s="1"/>
  <c r="I67" i="17"/>
  <c r="H115" i="17"/>
  <c r="H90" i="17"/>
  <c r="H92" i="17"/>
  <c r="H116" i="17"/>
  <c r="H93" i="17"/>
  <c r="H89" i="17"/>
  <c r="AM31" i="15"/>
  <c r="U82" i="15"/>
  <c r="U46" i="15"/>
  <c r="U58" i="15"/>
  <c r="AM58" i="15"/>
  <c r="U94" i="15"/>
  <c r="AM70" i="15"/>
  <c r="U31" i="15"/>
  <c r="H94" i="17" l="1"/>
  <c r="N106" i="15"/>
  <c r="AC106" i="15" s="1"/>
  <c r="I94" i="17" s="1"/>
  <c r="F94" i="17"/>
  <c r="N106" i="16"/>
  <c r="AC106" i="16" s="1"/>
  <c r="J94" i="17" s="1"/>
  <c r="N106" i="11"/>
  <c r="AC106" i="11" s="1"/>
  <c r="N106" i="10"/>
  <c r="U106" i="10" s="1"/>
  <c r="K112" i="15"/>
  <c r="I62" i="17"/>
  <c r="L62" i="17" s="1"/>
  <c r="L66" i="17" s="1"/>
  <c r="AU112" i="15"/>
  <c r="I117" i="17" s="1"/>
  <c r="AC112" i="15"/>
  <c r="I95" i="17" s="1"/>
  <c r="X82" i="15"/>
  <c r="Z82" i="15" s="1"/>
  <c r="S82" i="16" s="1"/>
  <c r="H91" i="17"/>
  <c r="AP70" i="15"/>
  <c r="AR70" i="15" s="1"/>
  <c r="AK70" i="16" s="1"/>
  <c r="X58" i="15"/>
  <c r="Z58" i="15" s="1"/>
  <c r="AP58" i="15"/>
  <c r="AR58" i="15" s="1"/>
  <c r="AK58" i="16" s="1"/>
  <c r="X94" i="15"/>
  <c r="Z94" i="15" s="1"/>
  <c r="S94" i="16" s="1"/>
  <c r="U94" i="16" s="1"/>
  <c r="X46" i="15"/>
  <c r="Z46" i="15" s="1"/>
  <c r="S46" i="16" s="1"/>
  <c r="AC31" i="15"/>
  <c r="I88" i="17" s="1"/>
  <c r="AU31" i="15"/>
  <c r="I113" i="17" s="1"/>
  <c r="AK46" i="15"/>
  <c r="AM46" i="15" s="1"/>
  <c r="H111" i="17"/>
  <c r="H119" i="17" s="1"/>
  <c r="X31" i="15"/>
  <c r="Z31" i="15" s="1"/>
  <c r="AP31" i="15"/>
  <c r="AR31" i="15" s="1"/>
  <c r="I94" i="15"/>
  <c r="K94" i="15" s="1"/>
  <c r="I46" i="15"/>
  <c r="K46" i="15" s="1"/>
  <c r="I58" i="15"/>
  <c r="K58" i="15" s="1"/>
  <c r="I70" i="15"/>
  <c r="K70" i="15" s="1"/>
  <c r="I82" i="15"/>
  <c r="K82" i="15" s="1"/>
  <c r="E94" i="17" l="1"/>
  <c r="U123" i="10"/>
  <c r="E86" i="17" s="1"/>
  <c r="E97" i="17" s="1"/>
  <c r="G94" i="17"/>
  <c r="AC123" i="11"/>
  <c r="G86" i="17" s="1"/>
  <c r="G97" i="17" s="1"/>
  <c r="S58" i="16"/>
  <c r="U58" i="16" s="1"/>
  <c r="L68" i="17"/>
  <c r="Q10" i="18" s="1"/>
  <c r="Q8" i="18"/>
  <c r="L69" i="17"/>
  <c r="L67" i="17"/>
  <c r="Q9" i="18" s="1"/>
  <c r="AU58" i="15"/>
  <c r="I115" i="17" s="1"/>
  <c r="AC94" i="15"/>
  <c r="I93" i="17" s="1"/>
  <c r="AC58" i="15"/>
  <c r="I90" i="17" s="1"/>
  <c r="AU70" i="15"/>
  <c r="I116" i="17" s="1"/>
  <c r="AC82" i="15"/>
  <c r="I92" i="17" s="1"/>
  <c r="AC46" i="15"/>
  <c r="I89" i="17" s="1"/>
  <c r="AM123" i="15"/>
  <c r="AU46" i="15"/>
  <c r="X94" i="16"/>
  <c r="AC94" i="16"/>
  <c r="H114" i="17"/>
  <c r="AM58" i="16"/>
  <c r="AM70" i="16"/>
  <c r="U46" i="16"/>
  <c r="U82" i="16"/>
  <c r="AP46" i="15"/>
  <c r="H86" i="17"/>
  <c r="H97" i="17" s="1"/>
  <c r="L94" i="17" l="1"/>
  <c r="X82" i="16"/>
  <c r="AC82" i="16"/>
  <c r="AP70" i="16"/>
  <c r="AU70" i="16"/>
  <c r="X58" i="16"/>
  <c r="AC58" i="16"/>
  <c r="AP58" i="16"/>
  <c r="AU58" i="16"/>
  <c r="J93" i="17"/>
  <c r="L93" i="17" s="1"/>
  <c r="X46" i="16"/>
  <c r="AC46" i="16"/>
  <c r="J89" i="17" s="1"/>
  <c r="L89" i="17" s="1"/>
  <c r="AP123" i="15"/>
  <c r="AR46" i="15"/>
  <c r="AR123" i="15" s="1"/>
  <c r="AK31" i="16"/>
  <c r="AM31" i="16" s="1"/>
  <c r="S31" i="16"/>
  <c r="U31" i="16" s="1"/>
  <c r="S70" i="15"/>
  <c r="U70" i="15" s="1"/>
  <c r="J92" i="17" l="1"/>
  <c r="L92" i="17" s="1"/>
  <c r="U123" i="15"/>
  <c r="AC70" i="15"/>
  <c r="I91" i="17" s="1"/>
  <c r="J116" i="17"/>
  <c r="L116" i="17" s="1"/>
  <c r="J115" i="17"/>
  <c r="L115" i="17" s="1"/>
  <c r="D68" i="20" s="1"/>
  <c r="J90" i="17"/>
  <c r="L90" i="17" s="1"/>
  <c r="D53" i="20" s="1"/>
  <c r="AU31" i="16"/>
  <c r="J113" i="17" s="1"/>
  <c r="L113" i="17" s="1"/>
  <c r="AC31" i="16"/>
  <c r="J88" i="17" s="1"/>
  <c r="L88" i="17" s="1"/>
  <c r="AU123" i="15"/>
  <c r="I111" i="17" s="1"/>
  <c r="I119" i="17" s="1"/>
  <c r="I114" i="17"/>
  <c r="X31" i="16"/>
  <c r="AP31" i="16"/>
  <c r="AK46" i="16"/>
  <c r="AM46" i="16" s="1"/>
  <c r="X70" i="15"/>
  <c r="AM123" i="16" l="1"/>
  <c r="AU46" i="16"/>
  <c r="X123" i="15"/>
  <c r="Z70" i="15"/>
  <c r="Z123" i="15" s="1"/>
  <c r="AC123" i="15"/>
  <c r="I86" i="17" s="1"/>
  <c r="I97" i="17" s="1"/>
  <c r="AP46" i="16"/>
  <c r="AP123" i="16" l="1"/>
  <c r="AR123" i="16"/>
  <c r="S70" i="16"/>
  <c r="U70" i="16" s="1"/>
  <c r="U123" i="16" l="1"/>
  <c r="AC70" i="16"/>
  <c r="AU123" i="16"/>
  <c r="J111" i="17" s="1"/>
  <c r="J119" i="17" s="1"/>
  <c r="J114" i="17"/>
  <c r="L114" i="17" s="1"/>
  <c r="X70" i="16"/>
  <c r="X123" i="16" l="1"/>
  <c r="J91" i="17"/>
  <c r="L91" i="17" s="1"/>
  <c r="F44" i="18"/>
  <c r="F61" i="18"/>
  <c r="D54" i="20" l="1"/>
  <c r="D44" i="20"/>
  <c r="E44" i="20" s="1"/>
  <c r="AC123" i="16"/>
  <c r="J86" i="17" s="1"/>
  <c r="J97" i="17" s="1"/>
  <c r="F86" i="17" l="1"/>
  <c r="F111" i="17"/>
  <c r="L111" i="17" l="1"/>
  <c r="F119" i="17"/>
  <c r="L86" i="17"/>
  <c r="F97" i="17"/>
  <c r="F117" i="17"/>
  <c r="L117" i="17" s="1"/>
  <c r="F95" i="17"/>
  <c r="L95" i="17" s="1"/>
  <c r="D55" i="20" l="1"/>
  <c r="D52" i="20"/>
  <c r="D70" i="20"/>
  <c r="D51" i="20"/>
  <c r="D56" i="20"/>
  <c r="D57" i="20"/>
  <c r="D58" i="20"/>
  <c r="D50" i="20"/>
  <c r="D45" i="20"/>
  <c r="E45" i="20" s="1"/>
  <c r="D67" i="20"/>
  <c r="D69" i="20"/>
  <c r="D66" i="20"/>
  <c r="D65" i="20"/>
  <c r="D43" i="20"/>
  <c r="E43" i="20" s="1"/>
  <c r="L97" i="17"/>
  <c r="D60" i="20"/>
  <c r="E60" i="20" s="1"/>
  <c r="M43" i="18"/>
  <c r="M60" i="18"/>
  <c r="L119" i="17"/>
  <c r="M61" i="18" l="1"/>
  <c r="D62" i="20"/>
  <c r="E62" i="20" s="1"/>
  <c r="M44" i="18"/>
  <c r="D47" i="20"/>
  <c r="E47" i="20" s="1"/>
</calcChain>
</file>

<file path=xl/sharedStrings.xml><?xml version="1.0" encoding="utf-8"?>
<sst xmlns="http://schemas.openxmlformats.org/spreadsheetml/2006/main" count="2949" uniqueCount="818">
  <si>
    <t>€ / T</t>
  </si>
  <si>
    <t>T</t>
  </si>
  <si>
    <t>%</t>
  </si>
  <si>
    <t>ETP</t>
  </si>
  <si>
    <t>Temps de travail</t>
  </si>
  <si>
    <t>Coût unitaire du travail</t>
  </si>
  <si>
    <t>€</t>
  </si>
  <si>
    <t>Matériel utilisé</t>
  </si>
  <si>
    <t>Prix de l'énergie</t>
  </si>
  <si>
    <t>€ / MWh</t>
  </si>
  <si>
    <t>Prix des MPA</t>
  </si>
  <si>
    <t>€ / ETP</t>
  </si>
  <si>
    <t>Personnel impliqué</t>
  </si>
  <si>
    <t>Emballages utilisés</t>
  </si>
  <si>
    <t>Prix des emballages</t>
  </si>
  <si>
    <t>Mode de traitement des déchets</t>
  </si>
  <si>
    <t>Coût unitaire gestion des déchets</t>
  </si>
  <si>
    <t>Type d'approche</t>
  </si>
  <si>
    <t>Globale</t>
  </si>
  <si>
    <t>Détaillée</t>
  </si>
  <si>
    <t>TCO2 / T</t>
  </si>
  <si>
    <t>TCO2</t>
  </si>
  <si>
    <t>Empreinte GES unitaire production</t>
  </si>
  <si>
    <t>Empreinte GES unitaire transport amont</t>
  </si>
  <si>
    <t>Empreinte GES unitaire des MPA</t>
  </si>
  <si>
    <t>Empreinte GES unitaire des emballages</t>
  </si>
  <si>
    <t>Empreinte GES unitaire déchets</t>
  </si>
  <si>
    <t>ELECTRICITE</t>
  </si>
  <si>
    <t>GAZ</t>
  </si>
  <si>
    <t>EAU</t>
  </si>
  <si>
    <t>Empreinte GES unitaire emballages</t>
  </si>
  <si>
    <t>Origine des emballages</t>
  </si>
  <si>
    <t>MPA utilisées</t>
  </si>
  <si>
    <t>Energie utilisée</t>
  </si>
  <si>
    <t>Electricité</t>
  </si>
  <si>
    <t>Gaz</t>
  </si>
  <si>
    <t>Eau</t>
  </si>
  <si>
    <t>Empreinte GES unitaire de l'énergie</t>
  </si>
  <si>
    <t>BILAN DE L'ETAPE</t>
  </si>
  <si>
    <t>Coût unitaire travail</t>
  </si>
  <si>
    <t xml:space="preserve"> </t>
  </si>
  <si>
    <t>Empreinte GES électricité</t>
  </si>
  <si>
    <t>Empreinte GES gaz</t>
  </si>
  <si>
    <t>Poids MPA</t>
  </si>
  <si>
    <t>Coûts MPA</t>
  </si>
  <si>
    <t>Empreinte GES MPA</t>
  </si>
  <si>
    <t>Coûts électricité</t>
  </si>
  <si>
    <t>Consommations électricité</t>
  </si>
  <si>
    <t>Consommations gaz</t>
  </si>
  <si>
    <t>Coût gaz</t>
  </si>
  <si>
    <t>Consommation eau</t>
  </si>
  <si>
    <t>Coût eau</t>
  </si>
  <si>
    <t>Empreinte GES déchets</t>
  </si>
  <si>
    <t>Coût emballages</t>
  </si>
  <si>
    <t>Empreinte GES emballages</t>
  </si>
  <si>
    <t>Poids de pertes</t>
  </si>
  <si>
    <t>Poids de produits finis (hors pertes)</t>
  </si>
  <si>
    <r>
      <t xml:space="preserve">SORTIES </t>
    </r>
    <r>
      <rPr>
        <u/>
        <sz val="11"/>
        <color theme="1"/>
        <rFont val="Calibri"/>
        <family val="2"/>
        <scheme val="minor"/>
      </rPr>
      <t>(hors emballages)</t>
    </r>
  </si>
  <si>
    <r>
      <t xml:space="preserve">ENTREES </t>
    </r>
    <r>
      <rPr>
        <u/>
        <sz val="11"/>
        <color theme="1"/>
        <rFont val="Calibri"/>
        <family val="2"/>
        <scheme val="minor"/>
      </rPr>
      <t>(hors emballages)</t>
    </r>
  </si>
  <si>
    <t>Taux de pertes</t>
  </si>
  <si>
    <t>Empreintes GES (TCO2)</t>
  </si>
  <si>
    <t>Coûts (€)</t>
  </si>
  <si>
    <t>ENERGIE</t>
  </si>
  <si>
    <t>EMBALLAGES</t>
  </si>
  <si>
    <t>MATIERES PREMIERES ALIMENTAIRES (MPA)</t>
  </si>
  <si>
    <t>MAIN D'ŒUVRE</t>
  </si>
  <si>
    <t>Consommations autre</t>
  </si>
  <si>
    <t>Coût autre</t>
  </si>
  <si>
    <t>Empreinte GES autre</t>
  </si>
  <si>
    <t>Prix autre</t>
  </si>
  <si>
    <t>PREAMBULE : BLAN ENTREES / SORTIES</t>
  </si>
  <si>
    <t>ETAPE 2</t>
  </si>
  <si>
    <t>€ / Tf</t>
  </si>
  <si>
    <t>TCO2 / Tf</t>
  </si>
  <si>
    <t>Coût total emballages ETAPE 1</t>
  </si>
  <si>
    <t>Coût travail</t>
  </si>
  <si>
    <t>GES totaux emballages ETAPES PREC.</t>
  </si>
  <si>
    <t xml:space="preserve">Prix emballages </t>
  </si>
  <si>
    <t>Prix électricité</t>
  </si>
  <si>
    <t>Coût unitaire électricité
ETAPES PREC.</t>
  </si>
  <si>
    <t>Coût unitaire emballages
ETAPES PREC.</t>
  </si>
  <si>
    <t>Coût total emballages
ETAPES PREC.</t>
  </si>
  <si>
    <t>Coût total électricité
ETAPES PREC.</t>
  </si>
  <si>
    <t>GES totaux électricité
ETAPES PREC.</t>
  </si>
  <si>
    <t>Prix gaz</t>
  </si>
  <si>
    <t>Coût unitaire gaz
ETAPES PREC.</t>
  </si>
  <si>
    <t>Coût total gaz
ETAPES PREC.</t>
  </si>
  <si>
    <t>GES unitaires électricité
ETAPES PREC.</t>
  </si>
  <si>
    <t>GES unitaires gaz
ETAPES PREC.</t>
  </si>
  <si>
    <t>GES unitaires emballages 
ETAPES PREC.</t>
  </si>
  <si>
    <t>GES totaux gaz ETAPES PREC.</t>
  </si>
  <si>
    <t>Coût total électricité
ETAPE 2</t>
  </si>
  <si>
    <t>Coût total gaz
ETAPE 2</t>
  </si>
  <si>
    <t>Coût total autre
ETAPE 2</t>
  </si>
  <si>
    <t>GES totaux emballages
ETAPE 2</t>
  </si>
  <si>
    <t>GES totaux électricité
ETAPE 2</t>
  </si>
  <si>
    <t>GES totaux gaz
ETAPE 2</t>
  </si>
  <si>
    <t>Coût unitaire autre
ETAPES PREC.</t>
  </si>
  <si>
    <t>Coût total autre
ETAPES PREC.</t>
  </si>
  <si>
    <t>GES unitaires autre
ETAPES PREC.</t>
  </si>
  <si>
    <t>GES totaux autre
ETAPES PREC.</t>
  </si>
  <si>
    <t>GES totaux autre
ETAPE 2</t>
  </si>
  <si>
    <t>Prix eau</t>
  </si>
  <si>
    <t>Coût unitaire eau
ETAPES PREC.</t>
  </si>
  <si>
    <t>Coût total eau
ETAPES PREC.</t>
  </si>
  <si>
    <t>Coût total eau
ETAPE 2</t>
  </si>
  <si>
    <t>Coût unitaire travail
ETAPES PREC.</t>
  </si>
  <si>
    <t>Coût total travail
ETAPES PREC.</t>
  </si>
  <si>
    <t>Coût total travail
ETAPE 2</t>
  </si>
  <si>
    <t>GES perdus déchets</t>
  </si>
  <si>
    <t>Coût total MPA
ETAPES PREC.</t>
  </si>
  <si>
    <t>GES totaux MPA
ETAPES PREC.</t>
  </si>
  <si>
    <t>Poids emballages</t>
  </si>
  <si>
    <t>Poids déchets</t>
  </si>
  <si>
    <t>Coût total production
ETAPE 2</t>
  </si>
  <si>
    <t>Coût total production
ETAPES PREC.</t>
  </si>
  <si>
    <t>GES totaux production
ETAPES PREC.</t>
  </si>
  <si>
    <t>GES totaux production
ETAPE 2</t>
  </si>
  <si>
    <t>Coût total MPA
ETAPE 1</t>
  </si>
  <si>
    <t>Coût unitaire MPA
ETAPE 1</t>
  </si>
  <si>
    <t>Coût perdu MPA
ETAPE 1</t>
  </si>
  <si>
    <t>Emballages utilisés
ETAPE 1</t>
  </si>
  <si>
    <t>Poids emballages
ETAPE 1</t>
  </si>
  <si>
    <t>Poids emballages perdus
ETAPE 1</t>
  </si>
  <si>
    <t>Consommation électricité
ETAPE 1</t>
  </si>
  <si>
    <t>Consommation électricité perdue
ETAPE 1</t>
  </si>
  <si>
    <t>Consommation gaz
ETAPE 1</t>
  </si>
  <si>
    <t>Consommation gaz perdue
ETAPE 1</t>
  </si>
  <si>
    <t>Consommation autre
ETAPE 1</t>
  </si>
  <si>
    <t>Consommation autre perdue
ETAPE 1</t>
  </si>
  <si>
    <t>Consommation eau
ETAPE 1</t>
  </si>
  <si>
    <t>Consommation eau perdue
ETAPE 1</t>
  </si>
  <si>
    <t>Temps travail
ETAPE 1</t>
  </si>
  <si>
    <t>Temps travail perdu
ETAPE 1</t>
  </si>
  <si>
    <t>Coût unitaire emballages
ETAPE 1</t>
  </si>
  <si>
    <t>Coût perdu emballages
ETAPE 1</t>
  </si>
  <si>
    <t>Coût total électricité
ETAPE 1</t>
  </si>
  <si>
    <t>Coût unitaire électricité
ETAPE 1</t>
  </si>
  <si>
    <t>Coût perdu électricité
ETAPE 1</t>
  </si>
  <si>
    <t>Coût total gaz
ETAPE 1</t>
  </si>
  <si>
    <t>Coût unitaire gaz
ETAPE 1</t>
  </si>
  <si>
    <t>Coût perdu gaz
ETAPE 1</t>
  </si>
  <si>
    <t>GES totaux MPA
ETAPE 1</t>
  </si>
  <si>
    <t>GES unitaires MPA
ETAPE 1</t>
  </si>
  <si>
    <t>GES perdus MPA
ETAPE 1</t>
  </si>
  <si>
    <t>GES totaux emballages
ETAPE 1</t>
  </si>
  <si>
    <t>GES unitaires emballages
ETAPE 1</t>
  </si>
  <si>
    <t>GES perdus emballages
ETAPE 1</t>
  </si>
  <si>
    <t>GES totaux électricité
ETAPE 1</t>
  </si>
  <si>
    <t xml:space="preserve">GES unitaires électricité
ETAPE 1 </t>
  </si>
  <si>
    <t>GES perdus électricité
ETAPE 1</t>
  </si>
  <si>
    <t xml:space="preserve">GES unitaires gaz
ETAPE 1 </t>
  </si>
  <si>
    <t>GES perdus gaz
ETAPE 1</t>
  </si>
  <si>
    <t>Coût unitaire autre
ETAPE 1</t>
  </si>
  <si>
    <t>Coût perdu autre
ETAPE 1</t>
  </si>
  <si>
    <t xml:space="preserve">GES unitaires autre
ETAPE 1 </t>
  </si>
  <si>
    <t>GES perdus autre
ETAPE 1</t>
  </si>
  <si>
    <t>Coût unitaire eau
ETAPE 1</t>
  </si>
  <si>
    <t>Coût perdu eau
ETAPE 1</t>
  </si>
  <si>
    <t>Coût unitaire travail
ETAPE 1</t>
  </si>
  <si>
    <t>Coût perdu travail
ETAPE 1</t>
  </si>
  <si>
    <t>Coût unitaire production
ETAPE 1</t>
  </si>
  <si>
    <t>Coût perdu
ETAPE 1</t>
  </si>
  <si>
    <t>GES totaux production
ETAPE 1</t>
  </si>
  <si>
    <t xml:space="preserve">GES unitaires production
ETAPE 1 </t>
  </si>
  <si>
    <t>GES perdus
ETAPE 1</t>
  </si>
  <si>
    <t>Coût total autre
ETAPE 1</t>
  </si>
  <si>
    <t>Coût total eau
ETAPE 1</t>
  </si>
  <si>
    <t>Coût total travail
ETAPE 1</t>
  </si>
  <si>
    <t>Coût total production
ETAPE 1</t>
  </si>
  <si>
    <t>Emballages utilisés
ETAPE 2</t>
  </si>
  <si>
    <t>Poids emballages
ETAPE 2</t>
  </si>
  <si>
    <t>Poids emballages perdus
ETAPE 2</t>
  </si>
  <si>
    <t>Consommation électricité
ETAPE 2</t>
  </si>
  <si>
    <t>Consommation électricité perdue
ETAPE 2</t>
  </si>
  <si>
    <t>Consommation gaz
ETAPE 2</t>
  </si>
  <si>
    <t>Consommation gaz perdue
ETAPE 2</t>
  </si>
  <si>
    <t>Consommation autre
ETAPE 2</t>
  </si>
  <si>
    <t>Consommation autre perdue
ETAPE 2</t>
  </si>
  <si>
    <t>Consommation eau
ETAPE 2</t>
  </si>
  <si>
    <t>Consommation eau perdue
ETAPE 2</t>
  </si>
  <si>
    <t>Temps travail
ETAPE 2</t>
  </si>
  <si>
    <t>Temps travail perdu
ETAPE 2</t>
  </si>
  <si>
    <t>Coût total emballages ETAPE 2</t>
  </si>
  <si>
    <t>Coût total emballages
ETAPE 2 + PREC.</t>
  </si>
  <si>
    <t>Coût unitaire emballages
ETAPE 2 + PREC.</t>
  </si>
  <si>
    <t>Coût perdu emballages
ETAPE 2 + PREC.</t>
  </si>
  <si>
    <t>Coût total électricité
ETAPE 2 + PREC.</t>
  </si>
  <si>
    <t>Coût unitaire électricité
ETAPE 2 + PREC.</t>
  </si>
  <si>
    <t>Coût perdu électricité
ETAPE 2 + PREC.</t>
  </si>
  <si>
    <t>Coût total gaz
ETAPE 2 + PREC.</t>
  </si>
  <si>
    <t>Coût unitaire gaz
ETAPE 2 + PREC.</t>
  </si>
  <si>
    <t>Coût perdu gaz
ETAPE 2 + PREC.</t>
  </si>
  <si>
    <t>Coût total autre
ETAPE 2 + PREC.</t>
  </si>
  <si>
    <t>Coût unitaire autre
ETAPE 2 + PREC.</t>
  </si>
  <si>
    <t>Coût perdu autre
ETAPE 2 + PREC.</t>
  </si>
  <si>
    <t>Coût total eau
ETAPE 2 + PREC.</t>
  </si>
  <si>
    <t>Coût unitaire eau
ETAPE 2 + PREC.</t>
  </si>
  <si>
    <t>Coût perdu eau
ETAPE 2 + PREC.</t>
  </si>
  <si>
    <t>Coût total travail
ETAPE 2 + PREC.</t>
  </si>
  <si>
    <t>Coût unitaire travail
ETAPE 2 + PREC.</t>
  </si>
  <si>
    <t>Coût perdu travail
ETAPE 2 + PREC.</t>
  </si>
  <si>
    <t>Coût perdu
ETAPE 2 + PREC.</t>
  </si>
  <si>
    <t>Coût unitaire MPA
ETAPE 2 + PREC.</t>
  </si>
  <si>
    <t>Coût total MPA
ETAPE 2 + PREC.</t>
  </si>
  <si>
    <t>Coût perdu MPA
ETAPE 2 + PREC.</t>
  </si>
  <si>
    <t>GES totaux MPA
ETAPE 2 + PREC.</t>
  </si>
  <si>
    <t>GES unitaires MPA
ETAPE 2 + PREC.</t>
  </si>
  <si>
    <t>GES perdus MPA
ETAPE 2 + PREC.</t>
  </si>
  <si>
    <t>GES totaux emballages
ETAPE 2 + PREC.</t>
  </si>
  <si>
    <t>GES unitaires emballages
ETAPE 2 + PREC.</t>
  </si>
  <si>
    <t>GES perdus emballages
ETAPE 2 + PREC.</t>
  </si>
  <si>
    <t>GES totaux électricité
ETAPE 2 + PREC.</t>
  </si>
  <si>
    <t>GES unitaires électricité
ETAPE 2 + PREC.</t>
  </si>
  <si>
    <t>GES perdus électricité
ETAPE 2 + PREC.</t>
  </si>
  <si>
    <t>GES totaux gaz
ETAPE 2 + PREC.</t>
  </si>
  <si>
    <t>GES unitaires gaz
ETAPE 2 + PREC.</t>
  </si>
  <si>
    <t>GES perdus gaz
ETAPE 2 + PREC.</t>
  </si>
  <si>
    <t>GES totaux autre
ETAPE 2 + PREC.</t>
  </si>
  <si>
    <t>GES unitaires autre
ETAPE 2 + PREC.</t>
  </si>
  <si>
    <t>GES perdus autre
ETAPE 2 + PREC.</t>
  </si>
  <si>
    <t>GES perdus déchets
ETAPE 2</t>
  </si>
  <si>
    <t>GES totaux production
ETAPE 2 + PREC.</t>
  </si>
  <si>
    <t>GES unitaires production
ETAPE 2 + PREC.</t>
  </si>
  <si>
    <t>GES perdus
ETAPE 2 + PREC.</t>
  </si>
  <si>
    <t>ETAPE 3</t>
  </si>
  <si>
    <t>Coût total MPA
ETAPE 3 + PREC.</t>
  </si>
  <si>
    <t>Coût unitaire MPA
ETAPE 3 + PREC.</t>
  </si>
  <si>
    <t>Coût perdu MPA
ETAPE 3 + PREC.</t>
  </si>
  <si>
    <t>GES totaux MPA
ETAPE 3 + PREC.</t>
  </si>
  <si>
    <t>GES unitaires MPA
ETAPE 3 + PREC.</t>
  </si>
  <si>
    <t>GES perdus MPA
ETAPE 3 + PREC.</t>
  </si>
  <si>
    <t>Emballages utilisés
ETAPE 3</t>
  </si>
  <si>
    <t>Poids emballages
ETAPE 3</t>
  </si>
  <si>
    <t>Poids emballages perdus
ETAPE 3</t>
  </si>
  <si>
    <t>Coût total emballages ETAPE 3</t>
  </si>
  <si>
    <t>Coût total emballages
ETAPE 3 + PREC.</t>
  </si>
  <si>
    <t>Coût unitaire emballages
ETAPE 3 + PREC.</t>
  </si>
  <si>
    <t>Coût perdu emballages
ETAPE 3 + PREC.</t>
  </si>
  <si>
    <t>GES totaux emballages
ETAPE 3</t>
  </si>
  <si>
    <t>GES totaux emballages
ETAPE 3 + PREC.</t>
  </si>
  <si>
    <t>GES unitaires emballages
ETAPE 3 + PREC.</t>
  </si>
  <si>
    <t>GES perdus emballages
ETAPE 3 + PREC.</t>
  </si>
  <si>
    <t>Consommation électricité
ETAPE 3</t>
  </si>
  <si>
    <t>Consommation électricité perdue
ETAPE 3</t>
  </si>
  <si>
    <t>Coût total électricité
ETAPE 3</t>
  </si>
  <si>
    <t>Coût total électricité
ETAPE 3 + PREC.</t>
  </si>
  <si>
    <t>Coût unitaire électricité
ETAPE 3 + PREC.</t>
  </si>
  <si>
    <t>Coût perdu électricité
ETAPE 3 + PREC.</t>
  </si>
  <si>
    <t>GES totaux électricité
ETAPE 3</t>
  </si>
  <si>
    <t>GES totaux électricité
ETAPE 3 + PREC.</t>
  </si>
  <si>
    <t>GES unitaires électricité
ETAPE 3 + PREC.</t>
  </si>
  <si>
    <t>GES perdus électricité
ETAPE 3 + PREC.</t>
  </si>
  <si>
    <t>Consommation gaz
ETAPE 3</t>
  </si>
  <si>
    <t>Consommation gaz perdue
ETAPE 3</t>
  </si>
  <si>
    <t>Coût total gaz
ETAPE 3</t>
  </si>
  <si>
    <t>Coût total gaz
ETAPE 3 + PREC.</t>
  </si>
  <si>
    <t>Coût unitaire gaz
ETAPE 3 + PREC.</t>
  </si>
  <si>
    <t>Coût perdu gaz
ETAPE 3 + PREC.</t>
  </si>
  <si>
    <t>GES totaux gaz
ETAPE 3</t>
  </si>
  <si>
    <t>GES totaux gaz
ETAPE 3 + PREC.</t>
  </si>
  <si>
    <t>GES unitaires gaz
ETAPE 3 + PREC.</t>
  </si>
  <si>
    <t>GES perdus gaz
ETAPE 3 + PREC.</t>
  </si>
  <si>
    <t>Consommation autre
ETAPE 3</t>
  </si>
  <si>
    <t>Consommation autre perdue
ETAPE 3</t>
  </si>
  <si>
    <t>Coût total autre
ETAPE 3</t>
  </si>
  <si>
    <t>Coût total autre
ETAPE 3 + PREC.</t>
  </si>
  <si>
    <t>Coût unitaire autre
ETAPE 3 + PREC.</t>
  </si>
  <si>
    <t>Coût perdu autre
ETAPE 3 + PREC.</t>
  </si>
  <si>
    <t>GES totaux autre
ETAPE 3</t>
  </si>
  <si>
    <t>GES totaux autre
ETAPE 3 + PREC.</t>
  </si>
  <si>
    <t>GES unitaires autre
ETAPE 3 + PREC.</t>
  </si>
  <si>
    <t>GES perdus autre
ETAPE 3 + PREC.</t>
  </si>
  <si>
    <t>Consommation eau
ETAPE 3</t>
  </si>
  <si>
    <t>Consommation eau perdue
ETAPE 3</t>
  </si>
  <si>
    <t>Coût total eau
ETAPE 3</t>
  </si>
  <si>
    <t>Coût total eau
ETAPE 3 + PREC.</t>
  </si>
  <si>
    <t>Coût unitaire eau
ETAPE 3 + PREC.</t>
  </si>
  <si>
    <t>Coût perdu eau
ETAPE 3 + PREC.</t>
  </si>
  <si>
    <t>Temps travail
ETAPE 3</t>
  </si>
  <si>
    <t>Temps travail perdu
ETAPE 3</t>
  </si>
  <si>
    <t>Coût total travail
ETAPE 3</t>
  </si>
  <si>
    <t>Coût total travail
ETAPE 3 + PREC.</t>
  </si>
  <si>
    <t>Coût unitaire travail
ETAPE 3 + PREC.</t>
  </si>
  <si>
    <t>Coût perdu travail
ETAPE 3 + PREC.</t>
  </si>
  <si>
    <t>GES perdus déchets
ETAPE 3</t>
  </si>
  <si>
    <t>Coût total production
ETAPE 3</t>
  </si>
  <si>
    <t>Coût perdu
ETAPE 3 + PREC.</t>
  </si>
  <si>
    <t>GES totaux production
ETAPE 3</t>
  </si>
  <si>
    <t>GES totaux production
ETAPE 3 + PREC.</t>
  </si>
  <si>
    <t>GES unitaires production
ETAPE 3 + PREC.</t>
  </si>
  <si>
    <t>GES perdus
ETAPE 3 + PREC.</t>
  </si>
  <si>
    <t>ETAPE 4</t>
  </si>
  <si>
    <t>Coût total MPA
ETAPE 4 + PREC.</t>
  </si>
  <si>
    <t>Coût unitaire MPA
ETAPE 4 + PREC.</t>
  </si>
  <si>
    <t>Coût perdu MPA
ETAPE 4 + PREC.</t>
  </si>
  <si>
    <t>GES totaux MPA
ETAPE 4 + PREC.</t>
  </si>
  <si>
    <t>GES unitaires MPA
ETAPE 4 + PREC.</t>
  </si>
  <si>
    <t>GES perdus MPA
ETAPE 4 + PREC.</t>
  </si>
  <si>
    <t>Emballages utilisés
ETAPE 4</t>
  </si>
  <si>
    <t>Poids emballages
ETAPE 4</t>
  </si>
  <si>
    <t>Poids emballages perdus
ETAPE 4</t>
  </si>
  <si>
    <t>Coût total emballages ETAPE 4</t>
  </si>
  <si>
    <t>Coût total emballages
ETAPE 4 + PREC.</t>
  </si>
  <si>
    <t>Coût unitaire emballages
ETAPE 4 + PREC.</t>
  </si>
  <si>
    <t>Coût perdu emballages
ETAPE 4 + PREC.</t>
  </si>
  <si>
    <t>GES totaux emballages
ETAPE 4</t>
  </si>
  <si>
    <t>GES totaux emballages
ETAPE 4 + PREC.</t>
  </si>
  <si>
    <t>GES unitaires emballages
ETAPE 4 + PREC.</t>
  </si>
  <si>
    <t>GES perdus emballages
ETAPE 4 + PREC.</t>
  </si>
  <si>
    <t>Consommation électricité
ETAPE 4</t>
  </si>
  <si>
    <t>Consommation électricité perdue
ETAPE 4</t>
  </si>
  <si>
    <t>Coût total électricité
ETAPE 4</t>
  </si>
  <si>
    <t>Coût total électricité
ETAPE 4 + PREC.</t>
  </si>
  <si>
    <t>Coût unitaire électricité
ETAPE 4 + PREC.</t>
  </si>
  <si>
    <t>Coût perdu électricité
ETAPE 4 + PREC.</t>
  </si>
  <si>
    <t>GES totaux électricité
ETAPE 4</t>
  </si>
  <si>
    <t>GES totaux électricité
ETAPE 4 + PREC.</t>
  </si>
  <si>
    <t>GES unitaires électricité
ETAPE 4 + PREC.</t>
  </si>
  <si>
    <t>GES perdus électricité
ETAPE 4 + PREC.</t>
  </si>
  <si>
    <t>Consommation gaz
ETAPE 4</t>
  </si>
  <si>
    <t>Consommation gaz perdue
ETAPE 4</t>
  </si>
  <si>
    <t>Coût total gaz
ETAPE 4</t>
  </si>
  <si>
    <t>Coût total gaz
ETAPE 4 + PREC.</t>
  </si>
  <si>
    <t>Coût unitaire gaz
ETAPE 4 + PREC.</t>
  </si>
  <si>
    <t>Coût perdu gaz
ETAPE 4 + PREC.</t>
  </si>
  <si>
    <t>GES totaux gaz
ETAPE 4</t>
  </si>
  <si>
    <t>GES totaux gaz
ETAPE 4 + PREC.</t>
  </si>
  <si>
    <t>GES unitaires gaz
ETAPE 4 + PREC.</t>
  </si>
  <si>
    <t>GES perdus gaz
ETAPE 4 + PREC.</t>
  </si>
  <si>
    <t>Consommation autre
ETAPE 4</t>
  </si>
  <si>
    <t>Consommation autre perdue
ETAPE 4</t>
  </si>
  <si>
    <t>Coût total autre
ETAPE 4</t>
  </si>
  <si>
    <t>Coût total autre
ETAPE 4 + PREC.</t>
  </si>
  <si>
    <t>Coût unitaire autre
ETAPE 4 + PREC.</t>
  </si>
  <si>
    <t>Coût perdu autre
ETAPE 4 + PREC.</t>
  </si>
  <si>
    <t>GES totaux autre
ETAPE 4</t>
  </si>
  <si>
    <t>GES totaux autre
ETAPE 4 + PREC.</t>
  </si>
  <si>
    <t>GES unitaires autre
ETAPE 4 + PREC.</t>
  </si>
  <si>
    <t>GES perdus autre
ETAPE 4 + PREC.</t>
  </si>
  <si>
    <t>Consommation eau
ETAPE 4</t>
  </si>
  <si>
    <t>Consommation eau perdue
ETAPE 4</t>
  </si>
  <si>
    <t>Coût total eau
ETAPE 4</t>
  </si>
  <si>
    <t>Coût total eau
ETAPE 4 + PREC.</t>
  </si>
  <si>
    <t>Coût unitaire eau
ETAPE 4 + PREC.</t>
  </si>
  <si>
    <t>Coût perdu eau
ETAPE 4 + PREC.</t>
  </si>
  <si>
    <t>Temps travail
ETAPE 4</t>
  </si>
  <si>
    <t>Temps travail perdu
ETAPE 4</t>
  </si>
  <si>
    <t>Coût total travail
ETAPE 4</t>
  </si>
  <si>
    <t>Coût total travail
ETAPE 4 + PREC.</t>
  </si>
  <si>
    <t>Coût unitaire travail
ETAPE 4 + PREC.</t>
  </si>
  <si>
    <t>Coût perdu travail
ETAPE 4 + PREC.</t>
  </si>
  <si>
    <t>GES perdus déchets
ETAPE 4</t>
  </si>
  <si>
    <t>Coût total production
ETAPE 4</t>
  </si>
  <si>
    <t>Coût perdu
ETAPE 4 + PREC.</t>
  </si>
  <si>
    <t>GES totaux production
ETAPE 4</t>
  </si>
  <si>
    <t>GES totaux production
ETAPE 4 + PREC.</t>
  </si>
  <si>
    <t>GES unitaires production
ETAPE 4 + PREC.</t>
  </si>
  <si>
    <t>GES perdus
ETAPE 4 + PREC.</t>
  </si>
  <si>
    <t>ETAPE 5</t>
  </si>
  <si>
    <t>Coût total MPA
ETAPE 5 + PREC.</t>
  </si>
  <si>
    <t>Coût unitaire MPA
ETAPE 5 + PREC.</t>
  </si>
  <si>
    <t>Coût perdu MPA
ETAPE 5 + PREC.</t>
  </si>
  <si>
    <t>GES totaux MPA
ETAPE 5 + PREC.</t>
  </si>
  <si>
    <t>GES unitaires MPA
ETAPE 5 + PREC.</t>
  </si>
  <si>
    <t>GES perdus MPA
ETAPE 5 + PREC.</t>
  </si>
  <si>
    <t>Emballages utilisés
ETAPE 5</t>
  </si>
  <si>
    <t>Poids emballages
ETAPE 5</t>
  </si>
  <si>
    <t>Poids emballages perdus
ETAPE 5</t>
  </si>
  <si>
    <t>Coût total emballages ETAPE 5</t>
  </si>
  <si>
    <t>Coût total emballages
ETAPE 5 + PREC.</t>
  </si>
  <si>
    <t>Coût unitaire emballages
ETAPE 5 + PREC.</t>
  </si>
  <si>
    <t>Coût perdu emballages
ETAPE 5 + PREC.</t>
  </si>
  <si>
    <t>GES totaux emballages
ETAPE 5</t>
  </si>
  <si>
    <t>GES totaux emballages
ETAPE 5 + PREC.</t>
  </si>
  <si>
    <t>GES unitaires emballages
ETAPE 5 + PREC.</t>
  </si>
  <si>
    <t>GES perdus emballages
ETAPE 5 + PREC.</t>
  </si>
  <si>
    <t>Consommation électricité
ETAPE 5</t>
  </si>
  <si>
    <t>Consommation électricité perdue
ETAPE 5</t>
  </si>
  <si>
    <t>Coût total électricité
ETAPE 5</t>
  </si>
  <si>
    <t>Coût total électricité
ETAPE 5 + PREC.</t>
  </si>
  <si>
    <t>Coût unitaire électricité
ETAPE 5 + PREC.</t>
  </si>
  <si>
    <t>Coût perdu électricité
ETAPE 5 + PREC.</t>
  </si>
  <si>
    <t>GES totaux électricité
ETAPE 5</t>
  </si>
  <si>
    <t>GES totaux électricité
ETAPE 5 + PREC.</t>
  </si>
  <si>
    <t>GES unitaires électricité
ETAPE 5 + PREC.</t>
  </si>
  <si>
    <t>GES perdus électricité
ETAPE 5 + PREC.</t>
  </si>
  <si>
    <t>Consommation gaz
ETAPE 5</t>
  </si>
  <si>
    <t>Consommation gaz perdue
ETAPE 5</t>
  </si>
  <si>
    <t>Coût total gaz
ETAPE 5</t>
  </si>
  <si>
    <t>Coût total gaz
ETAPE 5 + PREC.</t>
  </si>
  <si>
    <t>Coût unitaire gaz
ETAPE 5 + PREC.</t>
  </si>
  <si>
    <t>Coût perdu gaz
ETAPE 5 + PREC.</t>
  </si>
  <si>
    <t>GES totaux gaz
ETAPE 5</t>
  </si>
  <si>
    <t>GES totaux gaz
ETAPE 5 + PREC.</t>
  </si>
  <si>
    <t>GES unitaires gaz
ETAPE 5 + PREC.</t>
  </si>
  <si>
    <t>GES perdus gaz
ETAPE 5 + PREC.</t>
  </si>
  <si>
    <t>Consommation autre
ETAPE 5</t>
  </si>
  <si>
    <t>Consommation autre perdue
ETAPE 5</t>
  </si>
  <si>
    <t>Coût total autre
ETAPE 5</t>
  </si>
  <si>
    <t>Coût total autre
ETAPE 5 + PREC.</t>
  </si>
  <si>
    <t>Coût unitaire autre
ETAPE 5 + PREC.</t>
  </si>
  <si>
    <t>Coût perdu autre
ETAPE 5 + PREC.</t>
  </si>
  <si>
    <t>GES totaux autre
ETAPE 5</t>
  </si>
  <si>
    <t>GES totaux autre
ETAPE 5 + PREC.</t>
  </si>
  <si>
    <t>GES unitaires autre
ETAPE 5 + PREC.</t>
  </si>
  <si>
    <t>GES perdus autre
ETAPE 5 + PREC.</t>
  </si>
  <si>
    <t>Consommation eau
ETAPE 5</t>
  </si>
  <si>
    <t>Consommation eau perdue
ETAPE 5</t>
  </si>
  <si>
    <t>Coût total eau
ETAPE 5</t>
  </si>
  <si>
    <t>Coût total eau
ETAPE 5 + PREC.</t>
  </si>
  <si>
    <t>Coût unitaire eau
ETAPE 5 + PREC.</t>
  </si>
  <si>
    <t>Coût perdu eau
ETAPE 5 + PREC.</t>
  </si>
  <si>
    <t>Temps travail
ETAPE 5</t>
  </si>
  <si>
    <t>Temps travail perdu
ETAPE 5</t>
  </si>
  <si>
    <t>Coût total travail
ETAPE 5</t>
  </si>
  <si>
    <t>Coût total travail
ETAPE 5 + PREC.</t>
  </si>
  <si>
    <t>Coût unitaire travail
ETAPE 5 + PREC.</t>
  </si>
  <si>
    <t>Coût perdu travail
ETAPE 5 + PREC.</t>
  </si>
  <si>
    <t>GES perdus déchets
ETAPE 5</t>
  </si>
  <si>
    <t>Coût total production
ETAPE 5</t>
  </si>
  <si>
    <t>Coût perdu
ETAPE 5 + PREC.</t>
  </si>
  <si>
    <t>GES totaux production
ETAPE 5</t>
  </si>
  <si>
    <t>GES totaux production
ETAPE 5 + PREC.</t>
  </si>
  <si>
    <t>GES unitaires production
ETAPE 5 + PREC.</t>
  </si>
  <si>
    <t>GES perdus
ETAPE 5 + PREC.</t>
  </si>
  <si>
    <t>ETAPE 6</t>
  </si>
  <si>
    <t>Coût total MPA
ETAPE 6 + PREC.</t>
  </si>
  <si>
    <t>Coût unitaire MPA
ETAPE 6 + PREC.</t>
  </si>
  <si>
    <t>Coût perdu MPA
ETAPE 6 + PREC.</t>
  </si>
  <si>
    <t>GES totaux MPA
ETAPE 6 + PREC.</t>
  </si>
  <si>
    <t>GES unitaires MPA
ETAPE 6 + PREC.</t>
  </si>
  <si>
    <t>GES perdus MPA
ETAPE 6 + PREC.</t>
  </si>
  <si>
    <t>Emballages utilisés
ETAPE 6</t>
  </si>
  <si>
    <t>Poids emballages
ETAPE 6</t>
  </si>
  <si>
    <t>Coût total emballages ETAPE 6</t>
  </si>
  <si>
    <t>Coût total emballages
ETAPE 6 + PREC.</t>
  </si>
  <si>
    <t>Coût unitaire emballages
ETAPE 6 + PREC.</t>
  </si>
  <si>
    <t>Coût perdu emballages
ETAPE 6 + PREC.</t>
  </si>
  <si>
    <t>GES totaux emballages
ETAPE 6</t>
  </si>
  <si>
    <t>GES totaux emballages
ETAPE 6 + PREC.</t>
  </si>
  <si>
    <t>GES unitaires emballages
ETAPE 6 + PREC.</t>
  </si>
  <si>
    <t>GES perdus emballages
ETAPE 6 + PREC.</t>
  </si>
  <si>
    <t>Consommation électricité
ETAPE 6</t>
  </si>
  <si>
    <t>Consommation électricité perdue
ETAPE 6</t>
  </si>
  <si>
    <t>Coût total électricité
ETAPE 6</t>
  </si>
  <si>
    <t>Coût total électricité
ETAPE 6 + PREC.</t>
  </si>
  <si>
    <t>Coût unitaire électricité
ETAPE 6 + PREC.</t>
  </si>
  <si>
    <t>Coût perdu électricité
ETAPE 6 + PREC.</t>
  </si>
  <si>
    <t>GES totaux électricité
ETAPE 6</t>
  </si>
  <si>
    <t>GES totaux électricité
ETAPE 6 + PREC.</t>
  </si>
  <si>
    <t>GES unitaires électricité
ETAPE 6 + PREC.</t>
  </si>
  <si>
    <t>GES perdus électricité
ETAPE 6 + PREC.</t>
  </si>
  <si>
    <t>Consommation gaz
ETAPE 6</t>
  </si>
  <si>
    <t>Consommation gaz perdue
ETAPE 6</t>
  </si>
  <si>
    <t>Coût total gaz
ETAPE 6</t>
  </si>
  <si>
    <t>Coût total gaz
ETAPE 6 + PREC.</t>
  </si>
  <si>
    <t>Coût unitaire gaz
ETAPE 6 + PREC.</t>
  </si>
  <si>
    <t>Coût perdu gaz
ETAPE 6 + PREC.</t>
  </si>
  <si>
    <t>GES totaux gaz
ETAPE 6</t>
  </si>
  <si>
    <t>GES totaux gaz
ETAPE 6 + PREC.</t>
  </si>
  <si>
    <t>GES unitaires gaz
ETAPE 6 + PREC.</t>
  </si>
  <si>
    <t>GES perdus gaz
ETAPE 6 + PREC.</t>
  </si>
  <si>
    <t>Consommation autre
ETAPE 6</t>
  </si>
  <si>
    <t>Consommation autre perdue
ETAPE 6</t>
  </si>
  <si>
    <t>Coût total autre
ETAPE 6</t>
  </si>
  <si>
    <t>Coût total autre
ETAPE 6 + PREC.</t>
  </si>
  <si>
    <t>Coût unitaire autre
ETAPE 6 + PREC.</t>
  </si>
  <si>
    <t>Coût perdu autre
ETAPE 6 + PREC.</t>
  </si>
  <si>
    <t>GES totaux autre
ETAPE 6</t>
  </si>
  <si>
    <t>GES totaux autre
ETAPE 6 + PREC.</t>
  </si>
  <si>
    <t>GES unitaires autre
ETAPE 6 + PREC.</t>
  </si>
  <si>
    <t>GES perdus autre
ETAPE 6 + PREC.</t>
  </si>
  <si>
    <t>Consommation eau
ETAPE 6</t>
  </si>
  <si>
    <t>Consommation eau perdue
ETAPE 6</t>
  </si>
  <si>
    <t>Coût total eau
ETAPE 6</t>
  </si>
  <si>
    <t>Coût total eau
ETAPE 6 + PREC.</t>
  </si>
  <si>
    <t>Coût unitaire eau
ETAPE 6 + PREC.</t>
  </si>
  <si>
    <t>Coût perdu eau
ETAPE 6 + PREC.</t>
  </si>
  <si>
    <t>Temps travail
ETAPE 6</t>
  </si>
  <si>
    <t>Temps travail perdu
ETAPE 6</t>
  </si>
  <si>
    <t>Coût total travail
ETAPE 6</t>
  </si>
  <si>
    <t>Coût total travail
ETAPE 6 + PREC.</t>
  </si>
  <si>
    <t>Coût unitaire travail
ETAPE 6 + PREC.</t>
  </si>
  <si>
    <t>Coût perdu travail
ETAPE 6 + PREC.</t>
  </si>
  <si>
    <t>GES perdus déchets
ETAPE 6</t>
  </si>
  <si>
    <t>Coût total production
ETAPE 6</t>
  </si>
  <si>
    <t>Coût perdu
ETAPE 6 + PREC.</t>
  </si>
  <si>
    <t>GES totaux production
ETAPE 6</t>
  </si>
  <si>
    <t>GES totaux production
ETAPE 6 + PREC.</t>
  </si>
  <si>
    <t>GES unitaires production
ETAPE 6 + PREC.</t>
  </si>
  <si>
    <t>GES perdus
ETAPE 6 + PREC.</t>
  </si>
  <si>
    <t>Origine des MPA
(Pays, région)</t>
  </si>
  <si>
    <t>Coût total production
ETAPE 2 + PREC.</t>
  </si>
  <si>
    <t>Coût unitaire production
ETAPE 2 + PREC.</t>
  </si>
  <si>
    <t>Coût total production
ETAPE 3 + PREC.</t>
  </si>
  <si>
    <t>Coût unitaire production
ETAPE 3 + PREC.</t>
  </si>
  <si>
    <t>Coût total production
ETAPE 4 + PREC.</t>
  </si>
  <si>
    <t>Coût unitaire production
ETAPE 4 + PREC.</t>
  </si>
  <si>
    <t>Coût total production
ETAPE 5 + PREC.</t>
  </si>
  <si>
    <t>Coût unitaire production
ETAPE 5 + PREC.</t>
  </si>
  <si>
    <t>Coût total production
ETAPE 6 + PREC.</t>
  </si>
  <si>
    <t>Coût unitaire production
ETAPE 6 + PREC.</t>
  </si>
  <si>
    <t>SYNTHESE</t>
  </si>
  <si>
    <t>Destination des pertes (%)</t>
  </si>
  <si>
    <t>COÛTS COMPLETS DES PERTES ET GASPILLAGES ALIMENTAIRES</t>
  </si>
  <si>
    <t>Destination des pertes (T)</t>
  </si>
  <si>
    <t>Coût total des pertes (€)</t>
  </si>
  <si>
    <t>Coût total des pertes (% du CA)</t>
  </si>
  <si>
    <t>Empreinte GES totale des pertes (TCO2)</t>
  </si>
  <si>
    <t>Empreinte GES totale des pertes (équivalence)</t>
  </si>
  <si>
    <t>EMPREINTE GES DES PERTES ET GASPILLAGES ALIMENTAIRES</t>
  </si>
  <si>
    <t>GESTION DES DECHETS INTERNE</t>
  </si>
  <si>
    <t>GESTION DES DECHETS EXTERNE</t>
  </si>
  <si>
    <t>Temps de travail gestion des déchets interne</t>
  </si>
  <si>
    <t>Coût unitaire de gestion des déchets interne</t>
  </si>
  <si>
    <t>Poids des déchets</t>
  </si>
  <si>
    <t>Coût unitaire déchets externe</t>
  </si>
  <si>
    <t>Coût perdu déchets externe
ETAPE 1</t>
  </si>
  <si>
    <t>Coût déchets interne</t>
  </si>
  <si>
    <t>Coût déchets externe</t>
  </si>
  <si>
    <t>Coût perdu déchets externe
ETAPE 2</t>
  </si>
  <si>
    <t>Coût perdu déchets externe
ETAPE 3</t>
  </si>
  <si>
    <t>Coût perdu déchets externe
ETAPE 4</t>
  </si>
  <si>
    <t>Coût perdu déchets externe
ETAPE 5</t>
  </si>
  <si>
    <t>Coût perdu déchets externe
ETAPE 6</t>
  </si>
  <si>
    <t>GLOBAL</t>
  </si>
  <si>
    <t xml:space="preserve">Dernière étape saisie : </t>
  </si>
  <si>
    <t>ETAPES</t>
  </si>
  <si>
    <t>Coût unitaire de production (€/T)</t>
  </si>
  <si>
    <t>Empreinte GES unitaire de la production (TCO2/T)</t>
  </si>
  <si>
    <t>Précisions sur la source d'énergie</t>
  </si>
  <si>
    <t>Chiffre d'affaire annuel pour la famille de production étudiée</t>
  </si>
  <si>
    <t>Coût de revient moyen pour la famille de production étudiée</t>
  </si>
  <si>
    <t>MPA</t>
  </si>
  <si>
    <t>Emballages</t>
  </si>
  <si>
    <t>Autre énergie</t>
  </si>
  <si>
    <t xml:space="preserve">Main d'œuvre </t>
  </si>
  <si>
    <t>Gestion des déchets interne</t>
  </si>
  <si>
    <t>Gestion des déchets externe</t>
  </si>
  <si>
    <t>Coût total des pertes par type de coût (€)</t>
  </si>
  <si>
    <t>Gestion des déchets</t>
  </si>
  <si>
    <t>Empreinte GES totale des pertes par type (TCO2)</t>
  </si>
  <si>
    <t>Taux de pertes :</t>
  </si>
  <si>
    <t>Destination des pertes :</t>
  </si>
  <si>
    <t>MASSES DES PERTES ET GASPILLAGES ALIMENTAIRES</t>
  </si>
  <si>
    <t>Coût total de production :</t>
  </si>
  <si>
    <t>Coût unitaire de production :</t>
  </si>
  <si>
    <t>Coût total des pertes :</t>
  </si>
  <si>
    <t>% CA</t>
  </si>
  <si>
    <t xml:space="preserve">Part de CA : </t>
  </si>
  <si>
    <t>Empreinte GES totale de la production :</t>
  </si>
  <si>
    <t>Empreinte GES totale des pertes :</t>
  </si>
  <si>
    <t>Poids produits finis + pertes
(= sortie théorique)</t>
  </si>
  <si>
    <t>GES totaux gaz
ETAPE 1</t>
  </si>
  <si>
    <t>GES totaux autre
ETAPE 1</t>
  </si>
  <si>
    <t>Poids total de déchets gérés</t>
  </si>
  <si>
    <t>Poids emballages perdus
ETAPE 6</t>
  </si>
  <si>
    <t>Dont part consommable</t>
  </si>
  <si>
    <t>Poids MPA en entrée</t>
  </si>
  <si>
    <t>Poids utilisés par MPA (T)</t>
  </si>
  <si>
    <t>Poids de matières alimentaires brutes ou transformées entrantes</t>
  </si>
  <si>
    <t>Poids de matières alimentaires brutes ou transformées entrantes
(sortie étape précédente)</t>
  </si>
  <si>
    <t>Poids des pertes</t>
  </si>
  <si>
    <t>Taux de pertes (pertes / sortie théorique)</t>
  </si>
  <si>
    <t>MPA entrantes
ETAPE 1</t>
  </si>
  <si>
    <t>MPA entrantes
ETAPE 2</t>
  </si>
  <si>
    <t>MPA entrantes
ETAPE 3</t>
  </si>
  <si>
    <t>MPA entrantes
ETAPE 4</t>
  </si>
  <si>
    <t>MPA entrantes
ETAPE 5</t>
  </si>
  <si>
    <t>MPA entrantes
ETAPE 6</t>
  </si>
  <si>
    <t>Poids entrant (T)</t>
  </si>
  <si>
    <t>Poids sortant théorique (T)</t>
  </si>
  <si>
    <t>Poids sortant réel (T)</t>
  </si>
  <si>
    <t>Poids des pertes consommables (T)</t>
  </si>
  <si>
    <t>Poids des pertes consommables par MPA (T)</t>
  </si>
  <si>
    <t>Taux de pertes (%, pertes / sortant théorique)</t>
  </si>
  <si>
    <t>Taux de pertes par MPA (%, pertes / sortant théorique)</t>
  </si>
  <si>
    <t>Coût total de production, par étape (€)</t>
  </si>
  <si>
    <t>Coût total de production, par étape et par type de coût (€)</t>
  </si>
  <si>
    <t>Empreinte GES totale de la production, par étape (TCO2)</t>
  </si>
  <si>
    <t>Empreinte GES totale de la production, par étape et par type (TCO2)</t>
  </si>
  <si>
    <t xml:space="preserve">Poids des pertes consommables : </t>
  </si>
  <si>
    <t>Poids alimentaire entrant</t>
  </si>
  <si>
    <t>Poids alimentaire sortant théorique</t>
  </si>
  <si>
    <t>Poids alim. entrant :</t>
  </si>
  <si>
    <t xml:space="preserve">Poids alim. sortant réel : </t>
  </si>
  <si>
    <t>Poids alim. sortant théorique :</t>
  </si>
  <si>
    <t>Poids sortant théorique par MPA (T)</t>
  </si>
  <si>
    <t>Poids sortant réel par MPA (T)</t>
  </si>
  <si>
    <t>Poids MPA en sortie théorique</t>
  </si>
  <si>
    <t>Taux de pertes, par étape (%)</t>
  </si>
  <si>
    <t>Poids des pertes et gaspillages, par étape (T)</t>
  </si>
  <si>
    <t>Poids des pertes et gaspillages, par MPA (T)</t>
  </si>
  <si>
    <t>Taux de pertes, par MPA (%)</t>
  </si>
  <si>
    <t>Coûts des pertes et gaspillages, par source (€)</t>
  </si>
  <si>
    <t>Coûts des pertes et gaspillages, par étape (€)</t>
  </si>
  <si>
    <t>GES des pertes et gaspillages, par source (TCO2)</t>
  </si>
  <si>
    <t>GES des pertes et gaspillages, par étape (TCO2)</t>
  </si>
  <si>
    <t>Données annuelles</t>
  </si>
  <si>
    <t>Opérateur</t>
  </si>
  <si>
    <t>Coût unitaire déchets interne</t>
  </si>
  <si>
    <t>Quantité déchets produits
ETAPE 1</t>
  </si>
  <si>
    <t>Quantité déchets produits
ETAPE 2</t>
  </si>
  <si>
    <t>Quantité déchets produits
ETAPE 3</t>
  </si>
  <si>
    <t>Coût perdu déchets interne
ETAPE 3</t>
  </si>
  <si>
    <t>Coût perdu déchets interne
ETAPE 4</t>
  </si>
  <si>
    <t>Coût perdu déchets interne
ETAPE 5</t>
  </si>
  <si>
    <t>Coût perdu déchets interne
ETAPE 6</t>
  </si>
  <si>
    <t>Quantité déchets produits
ETAPE 4</t>
  </si>
  <si>
    <t>Quantité déchets produits
ETAPE 5</t>
  </si>
  <si>
    <t>Quantité déchets produits
ETAPE 6</t>
  </si>
  <si>
    <t>Quantité déchets gérés externe
ETAPE 1</t>
  </si>
  <si>
    <t>Quantité déchets gérés interne
ETAPE 1</t>
  </si>
  <si>
    <t>Quantité déchets gérés interne
ETAPE 2</t>
  </si>
  <si>
    <t>Quantité déchets gérés interne
ETAPE 3</t>
  </si>
  <si>
    <t>Quantité déchets gérés interne
ETAPE 4</t>
  </si>
  <si>
    <t>Quantité déchets gérés interne
ETAPE 5</t>
  </si>
  <si>
    <t>Quantité déchets gérés interne
ETAPE 6</t>
  </si>
  <si>
    <t>Quantité déchets gérés externe
ETAPE 2</t>
  </si>
  <si>
    <t>Quantité déchets gérés externe
ETAPE 6</t>
  </si>
  <si>
    <t>Quantité déchets gérés externe
ETAPE 5</t>
  </si>
  <si>
    <t>Quantité déchets gérés externe
ETAPE 4</t>
  </si>
  <si>
    <t>Quantité déchets gérés externe
ETAPE 3</t>
  </si>
  <si>
    <t>Choix des unités de quantité</t>
  </si>
  <si>
    <t>Conditionnement</t>
  </si>
  <si>
    <t>Stockage et expédition</t>
  </si>
  <si>
    <t>Empreinte GES unitaire de la production :</t>
  </si>
  <si>
    <t>Réception et stockage</t>
  </si>
  <si>
    <t>SYNTHESE SUR LES MASSES</t>
  </si>
  <si>
    <t>SYNTHESE SUR LES COUTS COMPLETS ET IMPACTS ENVIRONNEMENTAUX</t>
  </si>
  <si>
    <t>Soit les émissions annuelles de :</t>
  </si>
  <si>
    <t>Français</t>
  </si>
  <si>
    <t>Quantités perdues</t>
  </si>
  <si>
    <t>Unité</t>
  </si>
  <si>
    <t>Poids relatif de la source</t>
  </si>
  <si>
    <t>Actions proposées</t>
  </si>
  <si>
    <t>PRODUCTION ETUDIEE</t>
  </si>
  <si>
    <t>Type de produits finis</t>
  </si>
  <si>
    <t>Quantité produite</t>
  </si>
  <si>
    <t>Chiffre d'affaire</t>
  </si>
  <si>
    <t>PERTES ET GASPILLAGES ALIMENTAIRES</t>
  </si>
  <si>
    <t>Quantité perdue</t>
  </si>
  <si>
    <t>Taux de pertes, au global</t>
  </si>
  <si>
    <t>Taux de pertes, par étape</t>
  </si>
  <si>
    <t xml:space="preserve">Fabrication </t>
  </si>
  <si>
    <t>Destination des pertes</t>
  </si>
  <si>
    <t>Consommation humaine</t>
  </si>
  <si>
    <t>Alimentation animale</t>
  </si>
  <si>
    <t>Valorisation énergétique</t>
  </si>
  <si>
    <t>COUTS COMPLETS ET IMPACTS ENVIRONNEMENTAUX ASSOCIES</t>
  </si>
  <si>
    <t>Coût total des pertes</t>
  </si>
  <si>
    <t>Part de CA</t>
  </si>
  <si>
    <t>Répartition par source</t>
  </si>
  <si>
    <t>Main d'œuvre</t>
  </si>
  <si>
    <t>Empreinte GES total des pertes</t>
  </si>
  <si>
    <t>Equivalence en nombre de français</t>
  </si>
  <si>
    <t>CHIFFRES CLEFS</t>
  </si>
  <si>
    <t>SOURCES &amp; ACTIONS</t>
  </si>
  <si>
    <t>Hypothèses de quantification des pertes</t>
  </si>
  <si>
    <t>Hors surdosage (3,1%)</t>
  </si>
  <si>
    <t>Principales sources de pertes</t>
  </si>
  <si>
    <t>Déchets</t>
  </si>
  <si>
    <t>Part du chiffre d'affaire du site</t>
  </si>
  <si>
    <t>Dont gaspillage alimentaire</t>
  </si>
  <si>
    <t>Quantité de pertes valorisée</t>
  </si>
  <si>
    <t>Taux de valorisation des pertes</t>
  </si>
  <si>
    <t xml:space="preserve">Dont hors valorisation </t>
  </si>
  <si>
    <t xml:space="preserve">Dont valorisation </t>
  </si>
  <si>
    <t>AVANT</t>
  </si>
  <si>
    <t>APRES</t>
  </si>
  <si>
    <t>BILAN</t>
  </si>
  <si>
    <t>Outils de diagnostic des pertes alimentaires pour les Industries Agroalimentaires</t>
  </si>
  <si>
    <t>Présentation générale</t>
  </si>
  <si>
    <t>*</t>
  </si>
  <si>
    <t>Lien loi AGEC, article 31:</t>
  </si>
  <si>
    <t>https://www.legifrance.gouv.fr/affichTexte.do?cidTexte=JORFTEXT000041553759&amp;categorieLien=id</t>
  </si>
  <si>
    <t>**</t>
  </si>
  <si>
    <t>Lien infos ADEME:</t>
  </si>
  <si>
    <t>Consultez les résultats de l'opération témoin "moins de gaspillage alimentaire pour plus de performance"</t>
  </si>
  <si>
    <t>https://www.optigede.ademe.fr/alimentation-durable-producteurs-IAA-distributeurs</t>
  </si>
  <si>
    <t>OBJECTIFS</t>
  </si>
  <si>
    <t>RESULTATS</t>
  </si>
  <si>
    <t>DONNEES D'ENTREES ET LEURS SOURCES</t>
  </si>
  <si>
    <t>LIMITES</t>
  </si>
  <si>
    <t>METHODE DE CALCUL</t>
  </si>
  <si>
    <t>Niveau 1</t>
  </si>
  <si>
    <t>Bilan matière macroscopique sur le référentiel usine</t>
  </si>
  <si>
    <t>Niveau 2</t>
  </si>
  <si>
    <t xml:space="preserve">analyse de flux de matière </t>
  </si>
  <si>
    <t>Niveau 3</t>
  </si>
  <si>
    <t>DEFINITION DU GASPILLAGE ALIMENTAIRE (GA):</t>
  </si>
  <si>
    <t>Il s'agit de toute matière destinée à la consommation humaine qui est perdue, jetée ou dégradée au cours de la chaîne alimentaire. Cela intègre donc uniquement la partie comestible des aliments.</t>
  </si>
  <si>
    <t>Afin de faciliter la prise en main, ce fichier Excel fonctionne sur un code couleur de remplissage des cases que voici:</t>
  </si>
  <si>
    <t>Aide au remplissage</t>
  </si>
  <si>
    <t>Remplissage pour le support de l'utilisateur (ne servant pas au calcul)</t>
  </si>
  <si>
    <t>Résultats de calcul (à ne pas modifier)</t>
  </si>
  <si>
    <t xml:space="preserve">Sélection à faire dans une liste </t>
  </si>
  <si>
    <t>A remplir obligatoirement</t>
  </si>
  <si>
    <t>A remplir facultativement pour un résultat sur les données environnementales</t>
  </si>
  <si>
    <t>Facultatif equivalent CO2</t>
  </si>
  <si>
    <t>Feuille GENERALITES</t>
  </si>
  <si>
    <r>
      <rPr>
        <i/>
        <sz val="11"/>
        <color rgb="FF000000"/>
        <rFont val="Calibri"/>
        <family val="2"/>
      </rPr>
      <t xml:space="preserve">Evaluation des pertes (GA) </t>
    </r>
    <r>
      <rPr>
        <b/>
        <i/>
        <sz val="11"/>
        <color rgb="FF000000"/>
        <rFont val="Calibri"/>
        <family val="2"/>
      </rPr>
      <t xml:space="preserve">selon le niveau de transformation de la matière </t>
    </r>
    <r>
      <rPr>
        <i/>
        <sz val="11"/>
        <color rgb="FF000000"/>
        <rFont val="Calibri"/>
        <family val="2"/>
      </rPr>
      <t xml:space="preserve">afin de déterminer à quel endroit de l'usine elles surviennent (réception et stockage, transformation ou conditionnement et expédition).  </t>
    </r>
  </si>
  <si>
    <r>
      <rPr>
        <b/>
        <i/>
        <sz val="11"/>
        <color rgb="FF000000"/>
        <rFont val="Calibri"/>
        <family val="2"/>
      </rPr>
      <t>Estimation</t>
    </r>
    <r>
      <rPr>
        <i/>
        <sz val="11"/>
        <color rgb="FF000000"/>
        <rFont val="Calibri"/>
        <family val="2"/>
      </rPr>
      <t xml:space="preserve"> du GA selon le </t>
    </r>
    <r>
      <rPr>
        <b/>
        <i/>
        <sz val="11"/>
        <color rgb="FF000000"/>
        <rFont val="Calibri"/>
        <family val="2"/>
      </rPr>
      <t>niveau de transformation</t>
    </r>
    <r>
      <rPr>
        <i/>
        <sz val="11"/>
        <color rgb="FF000000"/>
        <rFont val="Calibri"/>
        <family val="2"/>
      </rPr>
      <t xml:space="preserve"> du produit</t>
    </r>
    <r>
      <rPr>
        <i/>
        <sz val="11"/>
        <color rgb="FFFF0000"/>
        <rFont val="Calibri"/>
        <family val="2"/>
      </rPr>
      <t xml:space="preserve"> </t>
    </r>
    <r>
      <rPr>
        <i/>
        <sz val="11"/>
        <rFont val="Calibri"/>
        <family val="2"/>
      </rPr>
      <t>(produit fini, semi fini ou matière première)</t>
    </r>
    <r>
      <rPr>
        <i/>
        <sz val="11"/>
        <color rgb="FF000000"/>
        <rFont val="Calibri"/>
        <family val="2"/>
      </rPr>
      <t xml:space="preserve">. </t>
    </r>
    <r>
      <rPr>
        <b/>
        <i/>
        <sz val="11"/>
        <color rgb="FF000000"/>
        <rFont val="Calibri"/>
        <family val="2"/>
      </rPr>
      <t>Estimation affinée du coût des pertes</t>
    </r>
    <r>
      <rPr>
        <i/>
        <sz val="11"/>
        <color rgb="FF000000"/>
        <rFont val="Calibri"/>
        <family val="2"/>
      </rPr>
      <t xml:space="preserve"> et du manque à gagner. </t>
    </r>
  </si>
  <si>
    <r>
      <rPr>
        <b/>
        <i/>
        <sz val="11"/>
        <color rgb="FF000000"/>
        <rFont val="Calibri"/>
        <family val="2"/>
      </rPr>
      <t xml:space="preserve">Rapports détaillés </t>
    </r>
    <r>
      <rPr>
        <i/>
        <sz val="11"/>
        <color rgb="FF000000"/>
        <rFont val="Calibri"/>
        <family val="2"/>
      </rPr>
      <t xml:space="preserve">des achats matières, suivi logistique dans le processus et des emballages utilisés ainsi que les </t>
    </r>
    <r>
      <rPr>
        <b/>
        <i/>
        <sz val="11"/>
        <color rgb="FF000000"/>
        <rFont val="Calibri"/>
        <family val="2"/>
      </rPr>
      <t xml:space="preserve">rapports financiers </t>
    </r>
    <r>
      <rPr>
        <i/>
        <sz val="11"/>
        <color rgb="FF000000"/>
        <rFont val="Calibri"/>
        <family val="2"/>
      </rPr>
      <t xml:space="preserve">annuels et la </t>
    </r>
    <r>
      <rPr>
        <b/>
        <i/>
        <sz val="11"/>
        <color rgb="FF000000"/>
        <rFont val="Calibri"/>
        <family val="2"/>
      </rPr>
      <t>formulation</t>
    </r>
    <r>
      <rPr>
        <i/>
        <sz val="11"/>
        <color rgb="FF000000"/>
        <rFont val="Calibri"/>
        <family val="2"/>
      </rPr>
      <t xml:space="preserve"> des produits finis au sens large</t>
    </r>
  </si>
  <si>
    <r>
      <rPr>
        <i/>
        <sz val="11"/>
        <color rgb="FF000000"/>
        <rFont val="Calibri"/>
        <family val="2"/>
      </rPr>
      <t xml:space="preserve">Même si le détail des données permet une plus grande fiabilité des estimations, on reste sur un </t>
    </r>
    <r>
      <rPr>
        <b/>
        <i/>
        <sz val="11"/>
        <color rgb="FF000000"/>
        <rFont val="Calibri"/>
        <family val="2"/>
      </rPr>
      <t>modèle aggloméré</t>
    </r>
    <r>
      <rPr>
        <i/>
        <sz val="11"/>
        <color rgb="FF000000"/>
        <rFont val="Calibri"/>
        <family val="2"/>
      </rPr>
      <t xml:space="preserve">. </t>
    </r>
    <r>
      <rPr>
        <i/>
        <sz val="11"/>
        <rFont val="Calibri"/>
        <family val="2"/>
      </rPr>
      <t>Il est de plus impossible de déterminer la part évitable du GA sans détailler les processus de fabrication.</t>
    </r>
  </si>
  <si>
    <r>
      <t>€</t>
    </r>
    <r>
      <rPr>
        <sz val="9.35"/>
        <color theme="1"/>
        <rFont val="Calibri"/>
        <family val="2"/>
      </rPr>
      <t xml:space="preserve"> / T</t>
    </r>
  </si>
  <si>
    <t>Matières Premières Alimentaires (MPA)</t>
  </si>
  <si>
    <t>NOM DE L'ETAPE:</t>
  </si>
  <si>
    <t>ENTREES (hors emballages)</t>
  </si>
  <si>
    <t>SORTIES (hors emballages)</t>
  </si>
  <si>
    <t>PREAMBULE : BILAN ENTREES / SORTIES</t>
  </si>
  <si>
    <r>
      <t xml:space="preserve">ENTREES </t>
    </r>
    <r>
      <rPr>
        <u/>
        <sz val="11"/>
        <color theme="0"/>
        <rFont val="Calibri"/>
        <family val="2"/>
        <scheme val="minor"/>
      </rPr>
      <t>(hors emballages)</t>
    </r>
  </si>
  <si>
    <r>
      <t xml:space="preserve">SORTIES </t>
    </r>
    <r>
      <rPr>
        <u/>
        <sz val="11"/>
        <color theme="0"/>
        <rFont val="Calibri"/>
        <family val="2"/>
        <scheme val="minor"/>
      </rPr>
      <t>(hors emballages)</t>
    </r>
  </si>
  <si>
    <t>Tableau de calcul opération IAA témoins</t>
  </si>
  <si>
    <t>https://www.bilans-ges.ademe.fr/fr/accueil/authentification</t>
  </si>
  <si>
    <t>https://ecolab.ademe.fr/agribalyse</t>
  </si>
  <si>
    <t>2. AIDE CALCUL GES ENERGIE, EMBALLAGE ET MPA</t>
  </si>
  <si>
    <t>3. AIDE CALCUL MIX ENERGETIQUE</t>
  </si>
  <si>
    <t>pourcentage dans le mix énergétique</t>
  </si>
  <si>
    <t>Cet onglet est constitué des caractéristiques des matières premières entrants dans le processus de fabrication et des emballages associés ainsi que les charges directes et indirectes.</t>
  </si>
  <si>
    <t>Dans cet onglet les MPA (ou  matières semi transformées) , les emballages entrants et sortants de l'étape du processus de fabrication nommée ainsi que les pertes effectives associées; l'énergie consommée, la main d'oeuvre attribuée, etc. sont quantifiés et reportés. Il est possible de sélectionner une méthode de calcul général ou détaillée pour les données énergétiques et la main d'oeuvre. Afin de remplir la part consommable veuillez vous référer à l'onglet "Aide données".                                                                                       Il est possible que les MPA aient subient une transformation à l'étape précédente et soient devenus des produits semi finis; on continue cependant de les différencier par la matière première d'origine.</t>
  </si>
  <si>
    <t>Synthèse Excel (niveau 3) : A compléter (L22 à L31)</t>
  </si>
  <si>
    <t>Etape 6 (Niveau 3) : à compléter</t>
  </si>
  <si>
    <t>Etape 2 (Niveau 3) : à compléter</t>
  </si>
  <si>
    <t>Etape 3 (Niveau 3) : à compléter</t>
  </si>
  <si>
    <t>Etape 4 (Niveau 3) : à compléter</t>
  </si>
  <si>
    <t>Etape 5 (Niveau 3) : à compléter</t>
  </si>
  <si>
    <t>Généralités (Niveau 3) : à compléter</t>
  </si>
  <si>
    <t>Veuillez sélectionner ci-dessus la dernière étape dans laquelle le produit est passé</t>
  </si>
  <si>
    <t>4. AIDE CALCUL PART CONSOMMABLE</t>
  </si>
  <si>
    <t>poids avant extrusion non comestible</t>
  </si>
  <si>
    <t>poids après extrusion non comestible</t>
  </si>
  <si>
    <t>mesure 1</t>
  </si>
  <si>
    <t>mesure 2</t>
  </si>
  <si>
    <t>mesure 6</t>
  </si>
  <si>
    <t>mesure 7</t>
  </si>
  <si>
    <t>mesure 8</t>
  </si>
  <si>
    <t>mesure 9</t>
  </si>
  <si>
    <t>mesure 10</t>
  </si>
  <si>
    <t>mesure 11</t>
  </si>
  <si>
    <t>mesure 12</t>
  </si>
  <si>
    <t>mesure 13</t>
  </si>
  <si>
    <t>mesure 14</t>
  </si>
  <si>
    <t>moyenne</t>
  </si>
  <si>
    <t>Coefficient part consommable</t>
  </si>
  <si>
    <t xml:space="preserve">5. AIDE CALCUL POIDS THEORIQUE </t>
  </si>
  <si>
    <t>Aide données (Niveau 3) : 5 aides</t>
  </si>
  <si>
    <t>Feuille ETAPES</t>
  </si>
  <si>
    <t>Feuille SYNTHESE EXCEL</t>
  </si>
  <si>
    <t>TCO2 equivalent/'unité' des données obligatoires</t>
  </si>
  <si>
    <t>Sources de pertes</t>
  </si>
  <si>
    <t xml:space="preserve">lien Base Carbone® </t>
  </si>
  <si>
    <t xml:space="preserve">lien Agribalyse® </t>
  </si>
  <si>
    <t xml:space="preserve">Données attendues au niveau 3 : </t>
  </si>
  <si>
    <t>Obligatoire</t>
  </si>
  <si>
    <t>Chiffre d'Affaires (CA) annuel, caractéristiques des Matières Premières Alimentaires (MPA), des emballages, de la main d'œuvre, de l'énergie et de la gestion des déchets mis en œuvre au cours de la transformation de la famille de produit étudié.</t>
  </si>
  <si>
    <t>- Les taux de pertes sont exprimés par rapport à ce qui devrait être produit en théorie (ie. dans le cas zéro perte)                                                                                    - Lorsque l'on parle de "Poids des MPA* en sortie théorique", on fait référence à ce qui aurait dû sortir de l'étape s'il n'y avait eu aucune perte évitable. Dans la plupart des cas, il s'agit du "Poids MPA en entrée", sauf s'il s'agit d'une étape de cuisson (perte d'eau et donc de MPA inévitable), de suppression des parties non consommables (ex : épluchage des pommes), etc.                                                                                                                                                                                        - Pour l'énergie, l'eau, la main d'œuvre, deux approches sont proposées par l'outil : une approche globale et une approche détaillée. Les approches détaillées permettent de différencier par exemple les consommations énergétiques, associées aux différentes pertes d'une même étape.                                                                                                          - Concernant la gestion interne des déchets, pour chaque étape, il convient de préciser la part des déchets produits qui sont effectivement gérés en interne (en général 100% sauf si une partie part par exemple directement à l'égoût)                                                                                                                                                                                                               - Les données GES sont à retrouver dans la Base Carbone ou Agribalyse (cf liens à gauche et/ou l'onglet "aide données")</t>
  </si>
  <si>
    <t>*MPA : Matières Premières Alimentaires</t>
  </si>
  <si>
    <t>Quantité de MPA, emballage, énergie et main d'œuvre entrant dans l'étape concernée ; évaluation du taux de perte évitable de chacun de ces éléments au cours du process (en %) qui a été soit estimé au cours de l'observation soit calculé par la pesée. Poids de sortie des MPA théoriques correspondant au poids de sortie s'il n'y avait aucune perte de consommable évitable au cours de l'étape</t>
  </si>
  <si>
    <t>Estimation du poids du produit fini réparti dans les MPA s'il n'y avait aucune perte évitable au cours du process. La perte en eau n'étant pas comptée comme une perte.</t>
  </si>
  <si>
    <t>L</t>
  </si>
  <si>
    <t xml:space="preserve">lien Case Carbone® </t>
  </si>
  <si>
    <t>Libellé</t>
  </si>
  <si>
    <t>Distance parcourue (en km)</t>
  </si>
  <si>
    <t>Quantité achetée (en T)</t>
  </si>
  <si>
    <t>Eq CO2 au km selon le type de transport (en TCO2eq/km)</t>
  </si>
  <si>
    <t>Eq CO2  transport (en TCO2/T)</t>
  </si>
  <si>
    <t>Afin de calculer l'équivalent CO2 du coût de production de vos matièrse premières (brutes, semi transformées ou transformées), vous pouvez vous référer à la base de donnée Agribalyse disponible sous format Excel à partir du 29 Septembre sur le lien en B11.                                                                                                                       Pour tous les autres équivalents CO2 (énergie, matière des emballages, traitement des déchêts, etc.) vous pouvez vous référer à la base carbone (lien en B7, inscription gratuite).</t>
  </si>
  <si>
    <t>Cette colonne (L22:L30) est la seule de la synthèse à devoir être remplie manuellement. Il s'agit ici de calculer le poids de sortie théorique en prenant en compte le cas échéant un coefficient de déshydratation. Cf l'onglet "aide données"</t>
  </si>
  <si>
    <t>Synthèse graphique (niveau 3)</t>
  </si>
  <si>
    <t>Présentation de la démarche : Niveau 3</t>
  </si>
  <si>
    <r>
      <t xml:space="preserve">Ce fichier Excel permet une cartographie des pertes alimentaire pour un produit ou une famille de produits identifés sur une campagne de pesée et d'observation (deux semaines conseillé).                                                                                                                                                                                                                                                                                                                                                                  - Il est possible de ne pas remplir tous les onglets Etape                                                                                                                               - Toutes les données sont à considérer </t>
    </r>
    <r>
      <rPr>
        <u/>
        <sz val="11"/>
        <color theme="0"/>
        <rFont val="Calibri"/>
        <family val="2"/>
        <scheme val="minor"/>
      </rPr>
      <t>annuellement</t>
    </r>
    <r>
      <rPr>
        <sz val="11"/>
        <color theme="0"/>
        <rFont val="Calibri"/>
        <family val="2"/>
        <scheme val="minor"/>
      </rPr>
      <t xml:space="preserve"> (extrapolation nécessaire des pesées)                                                                                                                                                     - Toutes les données économiques sont à exprimer en euros, HT</t>
    </r>
  </si>
  <si>
    <t>Famille de production étudiée</t>
  </si>
  <si>
    <t>L'utilisateur peut changer l'unité des MPA et emballages s'il le souhaite ainsi que l'intitulé "opérateur" dans la partie main d'œuvre.                                                                        Référez vous à l'onglet "aide données"(aide numéro 2), si vous souhaitez remplir les données GES.            
Si un mode de traitement des déchets consiste à une vente il faut rentrer un coût unitaire négatif correspondant au prix de vente.</t>
  </si>
  <si>
    <t>kWh</t>
  </si>
  <si>
    <t>kg</t>
  </si>
  <si>
    <t>GESTION DES DECHETS EN INTERNE (ie. temps de travail associé)</t>
  </si>
  <si>
    <t>GESTION DES DECHETS VIA PRESTATION EXTERNE (ie. élimination / valorisation)</t>
  </si>
  <si>
    <r>
      <t>Afin de calculer l'équivalent CO2 des Gaz à Effet de Serre (GES) du transport des emballages ou des matières premières vous pouvez remplir le tableau ci-dessous en vous référant aux données de la Base Carbone (création de compte utilisateur gratuit,</t>
    </r>
    <r>
      <rPr>
        <sz val="11"/>
        <color rgb="FFFF0000"/>
        <rFont val="Calibri"/>
        <family val="2"/>
        <scheme val="minor"/>
      </rPr>
      <t xml:space="preserve"> </t>
    </r>
    <r>
      <rPr>
        <sz val="11"/>
        <color theme="0"/>
        <rFont val="Calibri"/>
        <family val="2"/>
        <scheme val="minor"/>
      </rPr>
      <t>B7). Vous devrez choisir le mode de transport par produit et renseigner la colonne G.</t>
    </r>
  </si>
  <si>
    <r>
      <t>Dans les onglets "ETAPE" vous devez renseigner le poids "dont part consommable". Pour cela vous devez connaitre le coefficient de part consommable et multiplier le poids sortant par ce coefficient. Afin de le calculer vous pouvez remplir le tableau ci dessous. Pour cela vous devrez effectuer des pesées d'un ingrédient avant et après l'avoir ôté de ses parties non comestibles (pépin, noyeau, os, etc.) extraites au cours de l'étape concernée. Peu importe l'unité de masse tant qu'elle reste identique sur toutes les pesées.                                                                                              Définir la part consommable peut se révéler complexe dans certaines situations. Si la peau de pomme de terre est considérée par la majorité non comestible, certains la mange. Il n'y a pas de consensus absolu, l'essentiel étant de garder la même ligne directrice sur tous vos calculs.                                                                                                                                                                        Enfin vous n'êtes pas obligé de réaliser 14 mesures. Ce tableau donnera la moyenne peu importe le nombre de mesures que vous avez effectué. Ce tableau n'est valable que pour un ingrédient.</t>
    </r>
    <r>
      <rPr>
        <sz val="11"/>
        <color rgb="FFFF0000"/>
        <rFont val="Calibri"/>
        <family val="2"/>
        <scheme val="minor"/>
      </rPr>
      <t xml:space="preserve"> </t>
    </r>
  </si>
  <si>
    <t>Dans l'onglet Synthèse Excel, vous devez renseigner le poids sortant théorique par MPA. Pour le calculer vous devez multiplier la quantité de chaque MPA par leur coefficient de part consommable et leur coefficient de déshydratation. Le coefficient de déshydration est le rapport entre la masse de la MPA concernée après une étape induisant une perte en eau au cours du process et le poids de cette MPA avant cette étape (et à laquelle on a déjà ôté la part de non comestible extraite au cours du process).</t>
  </si>
  <si>
    <t xml:space="preserve">Dans cet onglet il s'agit de quantifier et reporter les MPA (ou matières semi transformées), les emballages entrants et sortants de l'étape 1 du processus de fabrication, ainsi que les pertes effectives associées; l'énergie consommée, la main d'oeuvre attribuée, etc. Il est possible de sélectionner une méthode de calcul général ou détaillée pour les données énergétiques et la main d'oeuvre. Afin de remplir la part consommable veuillez vous référer à l'onglet "Aide données".                                                    </t>
  </si>
  <si>
    <t xml:space="preserve">Etape 1 (Niveau 3) : à compléter </t>
  </si>
  <si>
    <t>Compléter les cases ci-dessous, soit à partir de l'onglet "Synthèse Graphique" (pour les chiffres clefs), soit à partir des observation sissues des campagnes de pesées (pour les sources, quantités, unités et actions) afin d'avoir une vision de la source de gaspillage et du type d'action envisageable pour le limiter.</t>
  </si>
  <si>
    <t>1. AIDE CALCUL GES TRANSPORT MPA ET EMBALLAGES</t>
  </si>
  <si>
    <t xml:space="preserve">Afin de calculer un mix énergétique selon les sources (électricité ou gaz) vous pouvez remplir le tableau ci-dessous à partir des données de la Base Carbone (lien en B7) le résultat sera à indiquer dans l'onglet 'généralité' pour les données GES de l'électricité </t>
  </si>
  <si>
    <t>origine de l'énergie (électricité ou gaz)</t>
  </si>
  <si>
    <t xml:space="preserve">Vous trouverez ici les aides au calcul des l'émission GES du transport (1), de l'émission GES générale (2), du calcul du mix énergétique (3), de la part de consommable (4) et du coefficient de déshydratation (5) </t>
  </si>
  <si>
    <t>Qualification des pertes (niveau 3)</t>
  </si>
  <si>
    <t>tomate séchée</t>
  </si>
  <si>
    <t>tomates grappe</t>
  </si>
  <si>
    <t>herbes de provence</t>
  </si>
  <si>
    <t>huile d'olive</t>
  </si>
  <si>
    <t>cagette</t>
  </si>
  <si>
    <t>carton</t>
  </si>
  <si>
    <t>bocaux</t>
  </si>
  <si>
    <t>couvercle</t>
  </si>
  <si>
    <t>cadre</t>
  </si>
  <si>
    <t>DIB</t>
  </si>
  <si>
    <t>méthanisation</t>
  </si>
  <si>
    <t>réception</t>
  </si>
  <si>
    <t>calibration/lavage</t>
  </si>
  <si>
    <t>séchage</t>
  </si>
  <si>
    <t>conditionnement</t>
  </si>
  <si>
    <r>
      <t xml:space="preserve">Avoir une </t>
    </r>
    <r>
      <rPr>
        <b/>
        <i/>
        <sz val="11"/>
        <color rgb="FF000000"/>
        <rFont val="Calibri"/>
        <family val="2"/>
      </rPr>
      <t>vision générale</t>
    </r>
    <r>
      <rPr>
        <i/>
        <sz val="11"/>
        <color rgb="FF000000"/>
        <rFont val="Calibri"/>
        <family val="2"/>
      </rPr>
      <t xml:space="preserve"> de la quantité de pertes alimentaires annuelle sur l'ensemble du site</t>
    </r>
  </si>
  <si>
    <r>
      <rPr>
        <b/>
        <i/>
        <sz val="11"/>
        <color rgb="FF000000"/>
        <rFont val="Calibri"/>
        <family val="2"/>
      </rPr>
      <t>Approximation</t>
    </r>
    <r>
      <rPr>
        <i/>
        <sz val="11"/>
        <color rgb="FF000000"/>
        <rFont val="Calibri"/>
        <family val="2"/>
      </rPr>
      <t xml:space="preserve"> des </t>
    </r>
    <r>
      <rPr>
        <b/>
        <i/>
        <sz val="11"/>
        <color rgb="FF000000"/>
        <rFont val="Calibri"/>
        <family val="2"/>
      </rPr>
      <t>quantités de matière première</t>
    </r>
    <r>
      <rPr>
        <i/>
        <sz val="11"/>
        <color rgb="FF000000"/>
        <rFont val="Calibri"/>
        <family val="2"/>
      </rPr>
      <t xml:space="preserve"> </t>
    </r>
    <r>
      <rPr>
        <i/>
        <sz val="11"/>
        <rFont val="Calibri"/>
        <family val="2"/>
      </rPr>
      <t>perdues</t>
    </r>
    <r>
      <rPr>
        <i/>
        <sz val="11"/>
        <color rgb="FFFF0000"/>
        <rFont val="Calibri"/>
        <family val="2"/>
      </rPr>
      <t xml:space="preserve"> </t>
    </r>
    <r>
      <rPr>
        <i/>
        <sz val="11"/>
        <color rgb="FF000000"/>
        <rFont val="Calibri"/>
        <family val="2"/>
      </rPr>
      <t xml:space="preserve">(incluant une notion de matière critique) et des </t>
    </r>
    <r>
      <rPr>
        <b/>
        <i/>
        <sz val="11"/>
        <color rgb="FF000000"/>
        <rFont val="Calibri"/>
        <family val="2"/>
      </rPr>
      <t>coûts matières associés</t>
    </r>
    <r>
      <rPr>
        <i/>
        <sz val="11"/>
        <color rgb="FF000000"/>
        <rFont val="Calibri"/>
        <family val="2"/>
      </rPr>
      <t>.</t>
    </r>
  </si>
  <si>
    <r>
      <t xml:space="preserve">Les calculs sont fait via une </t>
    </r>
    <r>
      <rPr>
        <b/>
        <i/>
        <sz val="11"/>
        <color rgb="FF000000"/>
        <rFont val="Calibri"/>
        <family val="2"/>
      </rPr>
      <t>moyenne</t>
    </r>
    <r>
      <rPr>
        <i/>
        <sz val="11"/>
        <color rgb="FF000000"/>
        <rFont val="Calibri"/>
        <family val="2"/>
      </rPr>
      <t xml:space="preserve"> </t>
    </r>
    <r>
      <rPr>
        <b/>
        <i/>
        <sz val="11"/>
        <color rgb="FF000000"/>
        <rFont val="Calibri"/>
        <family val="2"/>
      </rPr>
      <t xml:space="preserve">pondérée </t>
    </r>
    <r>
      <rPr>
        <i/>
        <sz val="11"/>
        <color rgb="FF000000"/>
        <rFont val="Calibri"/>
        <family val="2"/>
      </rPr>
      <t>et ne sont donc pas précis. 
Le bilan matière a une une incertitude non négligeable dû aux estimation de perte en eau ou d'efficacité de process. De même pour l'estimation financière en lien avec la répartition des coûts matières.</t>
    </r>
  </si>
  <si>
    <r>
      <rPr>
        <b/>
        <i/>
        <sz val="11"/>
        <color rgb="FF000000"/>
        <rFont val="Calibri"/>
        <family val="2"/>
      </rPr>
      <t>Rapports annuels</t>
    </r>
    <r>
      <rPr>
        <i/>
        <sz val="11"/>
        <color rgb="FF000000"/>
        <rFont val="Calibri"/>
        <family val="2"/>
      </rPr>
      <t xml:space="preserve"> d'achat matière et vente produits finis. Eventuellement cahier des charges des produits pour leur formulation au sens large. </t>
    </r>
  </si>
  <si>
    <r>
      <t xml:space="preserve">Cet outil est destiné à aider les IAA (Industries Agro Alimentaires) dans le cadre du diagnostic des pertes et gaspillages alimentaires rendu obligatoire par la loi AGEC* à compter de janvier 2021.  Il se veut multisectoriel et utilisable par le plus grand nombre d'industries. Néanmoins certaines spécificités de certaines entreprises peuvent ne pas avoir été anticipées.                                                                                                                                                                                                                                                                                                                 
L'outil est décliné en 3 niveaux : 
Niveau 1 : vue d’ensemble des pertes alimentaires
Niveau 2 : évaluation des pertes par ingrédient et produits finis et selon les niveaux de transformation 
</t>
    </r>
    <r>
      <rPr>
        <b/>
        <sz val="11"/>
        <color theme="0"/>
        <rFont val="Calibri"/>
        <family val="2"/>
      </rPr>
      <t xml:space="preserve">Niveau 3 : Cartographie complète pour une famille de produit </t>
    </r>
    <r>
      <rPr>
        <sz val="11"/>
        <color theme="0"/>
        <rFont val="Calibri"/>
        <family val="2"/>
      </rPr>
      <t xml:space="preserve">(outil réalisé dans le cadre de l'opération "IAA témoin" par I CARE, PHENIX et Artesial)
Pour choisir le niveau adapté à vos attentes et tenir compte de la finesse des données à renseigner, référez vous au tableau ci-dessous.             
Cet outil de diagnostic proposé par l'ADEME s'inscrit dans une démarche plus globale de réduction du gaspillage alimentaire**.         </t>
    </r>
  </si>
  <si>
    <r>
      <rPr>
        <sz val="11"/>
        <color theme="1"/>
        <rFont val="Calibri"/>
        <family val="2"/>
        <scheme val="minor"/>
      </rPr>
      <t xml:space="preserve">Etablir une </t>
    </r>
    <r>
      <rPr>
        <b/>
        <sz val="11"/>
        <color rgb="FF000000"/>
        <rFont val="Calibri"/>
        <family val="2"/>
      </rPr>
      <t>cartographie</t>
    </r>
    <r>
      <rPr>
        <sz val="11"/>
        <color theme="1"/>
        <rFont val="Calibri"/>
        <family val="2"/>
        <scheme val="minor"/>
      </rPr>
      <t xml:space="preserve"> des pertes en fonction de l'étape du processus de transformation </t>
    </r>
    <r>
      <rPr>
        <b/>
        <sz val="11"/>
        <color theme="1"/>
        <rFont val="Calibri"/>
        <family val="2"/>
        <scheme val="minor"/>
      </rPr>
      <t>d'un produit</t>
    </r>
    <r>
      <rPr>
        <sz val="11"/>
        <color theme="1"/>
        <rFont val="Calibri"/>
        <family val="2"/>
        <scheme val="minor"/>
      </rPr>
      <t xml:space="preserve"> afin d'identifier la pertinence d'agir sur celles-ci.</t>
    </r>
  </si>
  <si>
    <r>
      <rPr>
        <b/>
        <sz val="11"/>
        <color rgb="FF000000"/>
        <rFont val="Calibri"/>
        <family val="2"/>
      </rPr>
      <t>Détail des pertes par produit (ou famille de produits) et par étape</t>
    </r>
    <r>
      <rPr>
        <sz val="11"/>
        <color theme="1"/>
        <rFont val="Calibri"/>
        <family val="2"/>
        <scheme val="minor"/>
      </rPr>
      <t>. Calcul précis du coût complet du GA.</t>
    </r>
  </si>
  <si>
    <r>
      <rPr>
        <b/>
        <sz val="11"/>
        <color rgb="FF000000"/>
        <rFont val="Calibri"/>
        <family val="2"/>
      </rPr>
      <t xml:space="preserve">Campagne de pesée et/ou calculs </t>
    </r>
    <r>
      <rPr>
        <sz val="11"/>
        <color theme="1"/>
        <rFont val="Calibri"/>
        <family val="2"/>
        <scheme val="minor"/>
      </rPr>
      <t>(conseillée sur une à plusieurs semaines de production complète) et</t>
    </r>
    <r>
      <rPr>
        <b/>
        <sz val="11"/>
        <color rgb="FF000000"/>
        <rFont val="Calibri"/>
        <family val="2"/>
      </rPr>
      <t xml:space="preserve"> suivis détaillés des productions </t>
    </r>
    <r>
      <rPr>
        <sz val="11"/>
        <color rgb="FF000000"/>
        <rFont val="Calibri"/>
        <family val="2"/>
      </rPr>
      <t>de la réception à l'expédition: suivis financier</t>
    </r>
    <r>
      <rPr>
        <sz val="11"/>
        <color theme="1"/>
        <rFont val="Calibri"/>
        <family val="2"/>
        <scheme val="minor"/>
      </rPr>
      <t xml:space="preserve">, technique, de matière et ressources. </t>
    </r>
  </si>
  <si>
    <t>Les données de sorties sont assez fiables si on choisit des semaines représentatives pour les mesures. Néanmoins la caractérisation des pertes et leur potentielle  évitabillitée doivent être étudiées afin de déclencher une démarche anti gaspillage. Pour cela il faut une ou plusieurs personnes dédiées (interne ou via un accompagnement).</t>
  </si>
  <si>
    <t>A remplir facultativement (onglet "EXTRACT")</t>
  </si>
  <si>
    <t>calibrage</t>
  </si>
  <si>
    <t>conditionnement=&gt;calibrage bocaux</t>
  </si>
  <si>
    <t>valoriser les refus de calibrage en concentré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</si>
</sst>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0.000"/>
    <numFmt numFmtId="166" formatCode="#,##0\ &quot;€&quot;"/>
    <numFmt numFmtId="167" formatCode="#,##0\T\C\O\2"/>
    <numFmt numFmtId="168" formatCode="0.0%"/>
    <numFmt numFmtId="169" formatCode="#,##0.0"/>
  </numFmts>
  <fonts count="71" x14ac:knownFonts="1">
    <font>
      <sz val="11"/>
      <color theme="1"/>
      <name val="Calibri"/>
      <family val="2"/>
      <scheme val="minor"/>
    </font>
    <font>
      <sz val="11"/>
      <color rgb="FFFF0000"/>
      <name val="Calibri"/>
      <family val="2"/>
      <scheme val="minor"/>
    </font>
    <font>
      <sz val="11"/>
      <name val="Calibri"/>
      <family val="2"/>
      <scheme val="minor"/>
    </font>
    <font>
      <b/>
      <sz val="11"/>
      <color theme="5" tint="-0.249977111117893"/>
      <name val="Calibri"/>
      <family val="2"/>
      <scheme val="minor"/>
    </font>
    <font>
      <b/>
      <sz val="11"/>
      <color theme="9" tint="-0.249977111117893"/>
      <name val="Calibri"/>
      <family val="2"/>
      <scheme val="minor"/>
    </font>
    <font>
      <sz val="12"/>
      <name val="Calibri"/>
      <family val="2"/>
      <scheme val="minor"/>
    </font>
    <font>
      <sz val="16"/>
      <color theme="0"/>
      <name val="Calibri"/>
      <family val="2"/>
      <scheme val="minor"/>
    </font>
    <font>
      <sz val="14"/>
      <name val="Calibri"/>
      <family val="2"/>
      <scheme val="minor"/>
    </font>
    <font>
      <sz val="18"/>
      <color theme="0"/>
      <name val="Calibri"/>
      <family val="2"/>
      <scheme val="minor"/>
    </font>
    <font>
      <u/>
      <sz val="11"/>
      <color theme="1"/>
      <name val="Calibri"/>
      <family val="2"/>
      <scheme val="minor"/>
    </font>
    <font>
      <i/>
      <sz val="11"/>
      <color theme="1"/>
      <name val="Calibri"/>
      <family val="2"/>
      <scheme val="minor"/>
    </font>
    <font>
      <b/>
      <sz val="11"/>
      <color theme="1"/>
      <name val="Calibri"/>
      <family val="2"/>
      <scheme val="minor"/>
    </font>
    <font>
      <sz val="14"/>
      <color theme="0"/>
      <name val="Calibri"/>
      <family val="2"/>
      <scheme val="minor"/>
    </font>
    <font>
      <b/>
      <sz val="18"/>
      <color theme="0"/>
      <name val="Calibri"/>
      <family val="2"/>
      <scheme val="minor"/>
    </font>
    <font>
      <sz val="11"/>
      <color rgb="FFC00000"/>
      <name val="Calibri"/>
      <family val="2"/>
      <scheme val="minor"/>
    </font>
    <font>
      <b/>
      <sz val="11"/>
      <color rgb="FFC00000"/>
      <name val="Calibri"/>
      <family val="2"/>
      <scheme val="minor"/>
    </font>
    <font>
      <sz val="11"/>
      <color theme="5"/>
      <name val="Calibri"/>
      <family val="2"/>
      <scheme val="minor"/>
    </font>
    <font>
      <sz val="12"/>
      <color theme="0" tint="-0.499984740745262"/>
      <name val="Calibri"/>
      <family val="2"/>
      <scheme val="minor"/>
    </font>
    <font>
      <b/>
      <sz val="11"/>
      <color theme="9"/>
      <name val="Calibri"/>
      <family val="2"/>
      <scheme val="minor"/>
    </font>
    <font>
      <i/>
      <sz val="10"/>
      <color theme="1"/>
      <name val="Calibri"/>
      <family val="2"/>
      <scheme val="minor"/>
    </font>
    <font>
      <b/>
      <sz val="11"/>
      <color rgb="FFC0504D"/>
      <name val="Calibri"/>
      <family val="2"/>
      <scheme val="minor"/>
    </font>
    <font>
      <b/>
      <sz val="11"/>
      <name val="Calibri"/>
      <family val="2"/>
      <scheme val="minor"/>
    </font>
    <font>
      <sz val="11"/>
      <color theme="1"/>
      <name val="Calibri"/>
      <family val="2"/>
      <scheme val="minor"/>
    </font>
    <font>
      <u/>
      <sz val="11"/>
      <color rgb="FFFF0000"/>
      <name val="Calibri"/>
      <family val="2"/>
      <scheme val="minor"/>
    </font>
    <font>
      <sz val="11"/>
      <color rgb="FFFF0000"/>
      <name val="Calibri"/>
      <family val="2"/>
      <scheme val="minor"/>
    </font>
    <font>
      <sz val="11"/>
      <color theme="1"/>
      <name val="Calibri"/>
      <family val="2"/>
      <scheme val="minor"/>
    </font>
    <font>
      <sz val="18"/>
      <color theme="0"/>
      <name val="Calibri"/>
      <family val="2"/>
      <scheme val="minor"/>
    </font>
    <font>
      <sz val="14"/>
      <name val="Calibri"/>
      <family val="2"/>
      <scheme val="minor"/>
    </font>
    <font>
      <sz val="11"/>
      <name val="Calibri"/>
      <family val="2"/>
      <scheme val="minor"/>
    </font>
    <font>
      <i/>
      <sz val="11"/>
      <name val="Calibri"/>
      <family val="2"/>
      <scheme val="minor"/>
    </font>
    <font>
      <u/>
      <sz val="11"/>
      <color rgb="FFFF0000"/>
      <name val="Calibri"/>
      <family val="2"/>
      <scheme val="minor"/>
    </font>
    <font>
      <sz val="11"/>
      <color rgb="FFFF0000"/>
      <name val="Calibri"/>
      <family val="2"/>
      <scheme val="minor"/>
    </font>
    <font>
      <sz val="11"/>
      <color theme="1"/>
      <name val="Calibri"/>
      <family val="2"/>
      <scheme val="minor"/>
    </font>
    <font>
      <sz val="16"/>
      <color theme="0"/>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sz val="11"/>
      <color theme="1" tint="0.499984740745262"/>
      <name val="Calibri"/>
      <family val="2"/>
      <scheme val="minor"/>
    </font>
    <font>
      <b/>
      <sz val="11"/>
      <color theme="0"/>
      <name val="Calibri"/>
      <family val="2"/>
      <scheme val="minor"/>
    </font>
    <font>
      <sz val="11"/>
      <color theme="6"/>
      <name val="Calibri"/>
      <family val="2"/>
      <scheme val="minor"/>
    </font>
    <font>
      <u/>
      <sz val="11"/>
      <color theme="10"/>
      <name val="Calibri"/>
      <family val="2"/>
      <scheme val="minor"/>
    </font>
    <font>
      <u/>
      <sz val="11"/>
      <color theme="0"/>
      <name val="Calibri"/>
      <family val="2"/>
      <scheme val="minor"/>
    </font>
    <font>
      <sz val="11"/>
      <color theme="1"/>
      <name val="Calibri"/>
      <family val="2"/>
    </font>
    <font>
      <b/>
      <sz val="18"/>
      <color rgb="FF000000"/>
      <name val="Calibri"/>
      <family val="2"/>
    </font>
    <font>
      <b/>
      <sz val="14"/>
      <color rgb="FF000000"/>
      <name val="Calibri"/>
      <family val="2"/>
    </font>
    <font>
      <sz val="11"/>
      <color rgb="FFFFFFFF"/>
      <name val="Calibri"/>
      <family val="2"/>
    </font>
    <font>
      <b/>
      <sz val="11"/>
      <color rgb="FFFFFFFF"/>
      <name val="Calibri"/>
      <family val="2"/>
    </font>
    <font>
      <sz val="11"/>
      <color rgb="FF000000"/>
      <name val="Calibri"/>
      <family val="2"/>
    </font>
    <font>
      <u/>
      <sz val="11"/>
      <color rgb="FF0563C1"/>
      <name val="Calibri"/>
      <family val="2"/>
    </font>
    <font>
      <sz val="9"/>
      <color rgb="FF000000"/>
      <name val="Calibri"/>
      <family val="2"/>
    </font>
    <font>
      <u/>
      <sz val="10"/>
      <color rgb="FF0563C1"/>
      <name val="Calibri"/>
      <family val="2"/>
    </font>
    <font>
      <i/>
      <sz val="11"/>
      <color rgb="FF000000"/>
      <name val="Calibri"/>
      <family val="2"/>
    </font>
    <font>
      <b/>
      <i/>
      <sz val="11"/>
      <color rgb="FF000000"/>
      <name val="Calibri"/>
      <family val="2"/>
    </font>
    <font>
      <i/>
      <sz val="11"/>
      <name val="Calibri"/>
      <family val="2"/>
    </font>
    <font>
      <i/>
      <sz val="11"/>
      <color rgb="FFFF0000"/>
      <name val="Calibri"/>
      <family val="2"/>
    </font>
    <font>
      <b/>
      <u/>
      <sz val="11"/>
      <color rgb="FFFFFFFF"/>
      <name val="Calibri"/>
      <family val="2"/>
    </font>
    <font>
      <b/>
      <sz val="11"/>
      <color rgb="FF000000"/>
      <name val="Calibri"/>
      <family val="2"/>
    </font>
    <font>
      <sz val="11"/>
      <name val="Calibri"/>
      <family val="2"/>
    </font>
    <font>
      <b/>
      <sz val="12"/>
      <color rgb="FFFFFFFF"/>
      <name val="Calibri"/>
      <family val="2"/>
    </font>
    <font>
      <b/>
      <sz val="12"/>
      <color rgb="FF000000"/>
      <name val="Calibri"/>
      <family val="2"/>
    </font>
    <font>
      <sz val="9.35"/>
      <color theme="1"/>
      <name val="Calibri"/>
      <family val="2"/>
    </font>
    <font>
      <b/>
      <sz val="12"/>
      <color theme="0"/>
      <name val="Calibri"/>
      <family val="2"/>
    </font>
    <font>
      <i/>
      <sz val="10"/>
      <color theme="1"/>
      <name val="Calibri"/>
      <family val="2"/>
    </font>
    <font>
      <b/>
      <sz val="12"/>
      <color theme="1"/>
      <name val="Calibri"/>
      <family val="2"/>
      <scheme val="minor"/>
    </font>
    <font>
      <i/>
      <sz val="11"/>
      <color rgb="FFFF0000"/>
      <name val="Calibri"/>
      <family val="2"/>
      <scheme val="minor"/>
    </font>
    <font>
      <sz val="18"/>
      <color rgb="FFFF0000"/>
      <name val="Calibri"/>
      <family val="2"/>
      <scheme val="minor"/>
    </font>
    <font>
      <b/>
      <sz val="18"/>
      <name val="Calibri"/>
      <family val="2"/>
    </font>
    <font>
      <u/>
      <sz val="11"/>
      <name val="Calibri"/>
      <family val="2"/>
      <scheme val="minor"/>
    </font>
    <font>
      <sz val="11"/>
      <color theme="0"/>
      <name val="Calibri"/>
      <family val="2"/>
    </font>
    <font>
      <b/>
      <sz val="11"/>
      <color theme="0"/>
      <name val="Calibri"/>
      <family val="2"/>
    </font>
  </fonts>
  <fills count="5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lightUp"/>
    </fill>
    <fill>
      <patternFill patternType="solid">
        <fgColor theme="5" tint="0.79998168889431442"/>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rgb="FFCC3300"/>
        <bgColor indexed="64"/>
      </patternFill>
    </fill>
    <fill>
      <patternFill patternType="solid">
        <fgColor rgb="FFE6E0EC"/>
        <bgColor indexed="64"/>
      </patternFill>
    </fill>
    <fill>
      <patternFill patternType="solid">
        <fgColor rgb="FFF2DCDB"/>
        <bgColor indexed="64"/>
      </patternFill>
    </fill>
    <fill>
      <patternFill patternType="solid">
        <fgColor rgb="FF1F497D"/>
        <bgColor indexed="64"/>
      </patternFill>
    </fill>
    <fill>
      <patternFill patternType="solid">
        <fgColor theme="5"/>
        <bgColor indexed="64"/>
      </patternFill>
    </fill>
    <fill>
      <patternFill patternType="solid">
        <fgColor rgb="FFC0504D"/>
        <bgColor indexed="64"/>
      </patternFill>
    </fill>
    <fill>
      <patternFill patternType="solid">
        <fgColor theme="7"/>
        <bgColor indexed="64"/>
      </patternFill>
    </fill>
    <fill>
      <patternFill patternType="solid">
        <fgColor rgb="FFCCCCFF"/>
        <bgColor indexed="64"/>
      </patternFill>
    </fill>
    <fill>
      <patternFill patternType="solid">
        <fgColor theme="3"/>
        <bgColor indexed="64"/>
      </patternFill>
    </fill>
    <fill>
      <patternFill patternType="lightUp">
        <bgColor theme="6" tint="0.79998168889431442"/>
      </patternFill>
    </fill>
    <fill>
      <patternFill patternType="lightUp">
        <bgColor theme="0"/>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rgb="FF000000"/>
      </patternFill>
    </fill>
    <fill>
      <patternFill patternType="solid">
        <fgColor rgb="FFFFFFFF"/>
        <bgColor rgb="FF000000"/>
      </patternFill>
    </fill>
    <fill>
      <patternFill patternType="solid">
        <fgColor rgb="FF4472C4"/>
        <bgColor rgb="FFFFFFFF"/>
      </patternFill>
    </fill>
    <fill>
      <patternFill patternType="solid">
        <fgColor rgb="FFFFFF99"/>
        <bgColor rgb="FF000000"/>
      </patternFill>
    </fill>
    <fill>
      <patternFill patternType="solid">
        <fgColor rgb="FFFFFFCC"/>
        <bgColor rgb="FF000000"/>
      </patternFill>
    </fill>
    <fill>
      <patternFill patternType="solid">
        <fgColor rgb="FFBDD7EE"/>
        <bgColor rgb="FF000000"/>
      </patternFill>
    </fill>
    <fill>
      <patternFill patternType="solid">
        <fgColor rgb="FF8EA9DB"/>
        <bgColor rgb="FF000000"/>
      </patternFill>
    </fill>
    <fill>
      <patternFill patternType="solid">
        <fgColor rgb="FF002060"/>
        <bgColor rgb="FF000000"/>
      </patternFill>
    </fill>
    <fill>
      <patternFill patternType="solid">
        <fgColor rgb="FFBDD7EE"/>
        <bgColor rgb="FFFFFFFF"/>
      </patternFill>
    </fill>
    <fill>
      <patternFill patternType="solid">
        <fgColor rgb="FFA5A5A5"/>
        <bgColor rgb="FFFFFFFF"/>
      </patternFill>
    </fill>
    <fill>
      <patternFill patternType="solid">
        <fgColor rgb="FFDBDBDB"/>
        <bgColor rgb="FFFFFFFF"/>
      </patternFill>
    </fill>
    <fill>
      <patternFill patternType="solid">
        <fgColor rgb="FFF8CBAD"/>
        <bgColor rgb="FFFFFFFF"/>
      </patternFill>
    </fill>
    <fill>
      <patternFill patternType="solid">
        <fgColor rgb="FFFFE699"/>
        <bgColor rgb="FFFFFFFF"/>
      </patternFill>
    </fill>
    <fill>
      <patternFill patternType="solid">
        <fgColor rgb="FFA9D08E"/>
        <bgColor rgb="FFFFFFFF"/>
      </patternFill>
    </fill>
    <fill>
      <patternFill patternType="solid">
        <fgColor theme="0"/>
        <bgColor rgb="FFFFFFFF"/>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style="hair">
        <color theme="6"/>
      </left>
      <right/>
      <top/>
      <bottom/>
      <diagonal/>
    </border>
    <border>
      <left/>
      <right style="hair">
        <color theme="6"/>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mediumDashDotDot">
        <color theme="5"/>
      </left>
      <right style="mediumDashDotDot">
        <color theme="5"/>
      </right>
      <top style="mediumDashDotDot">
        <color theme="5"/>
      </top>
      <bottom style="thin">
        <color indexed="64"/>
      </bottom>
      <diagonal/>
    </border>
    <border>
      <left style="mediumDashDotDot">
        <color theme="5"/>
      </left>
      <right style="mediumDashDotDot">
        <color theme="5"/>
      </right>
      <top/>
      <bottom/>
      <diagonal/>
    </border>
    <border>
      <left style="mediumDashDotDot">
        <color theme="5"/>
      </left>
      <right style="mediumDashDotDot">
        <color theme="5"/>
      </right>
      <top style="thin">
        <color theme="0" tint="-0.499984740745262"/>
      </top>
      <bottom style="thin">
        <color theme="0" tint="-0.499984740745262"/>
      </bottom>
      <diagonal/>
    </border>
    <border>
      <left style="mediumDashDotDot">
        <color theme="5"/>
      </left>
      <right style="mediumDashDotDot">
        <color theme="5"/>
      </right>
      <top style="thin">
        <color indexed="64"/>
      </top>
      <bottom style="thin">
        <color indexed="64"/>
      </bottom>
      <diagonal/>
    </border>
    <border>
      <left style="mediumDashDotDot">
        <color theme="5"/>
      </left>
      <right style="mediumDashDotDot">
        <color theme="5"/>
      </right>
      <top style="thin">
        <color theme="0" tint="-0.499984740745262"/>
      </top>
      <bottom style="mediumDashDotDot">
        <color theme="5"/>
      </bottom>
      <diagonal/>
    </border>
    <border>
      <left style="mediumDashDotDot">
        <color theme="7"/>
      </left>
      <right style="thin">
        <color indexed="64"/>
      </right>
      <top style="mediumDashDotDot">
        <color theme="7"/>
      </top>
      <bottom style="thin">
        <color indexed="64"/>
      </bottom>
      <diagonal/>
    </border>
    <border>
      <left style="thin">
        <color indexed="64"/>
      </left>
      <right style="thin">
        <color indexed="64"/>
      </right>
      <top style="mediumDashDotDot">
        <color theme="7"/>
      </top>
      <bottom style="thin">
        <color indexed="64"/>
      </bottom>
      <diagonal/>
    </border>
    <border>
      <left/>
      <right/>
      <top style="mediumDashDotDot">
        <color theme="7"/>
      </top>
      <bottom/>
      <diagonal/>
    </border>
    <border>
      <left style="thin">
        <color indexed="64"/>
      </left>
      <right style="mediumDashDotDot">
        <color theme="7"/>
      </right>
      <top style="mediumDashDotDot">
        <color theme="7"/>
      </top>
      <bottom style="thin">
        <color indexed="64"/>
      </bottom>
      <diagonal/>
    </border>
    <border>
      <left style="mediumDashDotDot">
        <color theme="7"/>
      </left>
      <right style="thin">
        <color indexed="64"/>
      </right>
      <top style="thin">
        <color indexed="64"/>
      </top>
      <bottom style="thin">
        <color indexed="64"/>
      </bottom>
      <diagonal/>
    </border>
    <border>
      <left style="thin">
        <color indexed="64"/>
      </left>
      <right style="mediumDashDotDot">
        <color theme="7"/>
      </right>
      <top style="thin">
        <color indexed="64"/>
      </top>
      <bottom style="thin">
        <color indexed="64"/>
      </bottom>
      <diagonal/>
    </border>
    <border>
      <left style="mediumDashDotDot">
        <color theme="7"/>
      </left>
      <right style="thin">
        <color indexed="64"/>
      </right>
      <top style="thin">
        <color indexed="64"/>
      </top>
      <bottom style="mediumDashDotDot">
        <color theme="7"/>
      </bottom>
      <diagonal/>
    </border>
    <border>
      <left style="thin">
        <color indexed="64"/>
      </left>
      <right style="thin">
        <color indexed="64"/>
      </right>
      <top style="thin">
        <color indexed="64"/>
      </top>
      <bottom style="mediumDashDotDot">
        <color theme="7"/>
      </bottom>
      <diagonal/>
    </border>
    <border>
      <left style="thin">
        <color indexed="64"/>
      </left>
      <right style="mediumDashDotDot">
        <color theme="7"/>
      </right>
      <top style="thin">
        <color indexed="64"/>
      </top>
      <bottom style="mediumDashDotDot">
        <color theme="7"/>
      </bottom>
      <diagonal/>
    </border>
    <border>
      <left style="thin">
        <color indexed="64"/>
      </left>
      <right style="thin">
        <color indexed="64"/>
      </right>
      <top/>
      <bottom style="mediumDashDotDot">
        <color theme="7"/>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5">
    <xf numFmtId="0" fontId="0" fillId="0" borderId="0"/>
    <xf numFmtId="9" fontId="22" fillId="0" borderId="0" applyFont="0" applyFill="0" applyBorder="0" applyAlignment="0" applyProtection="0"/>
    <xf numFmtId="0" fontId="22" fillId="28" borderId="42" applyNumberFormat="0" applyFont="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36" fillId="39" borderId="0" applyNumberFormat="0" applyBorder="0" applyAlignment="0" applyProtection="0"/>
    <xf numFmtId="0" fontId="41" fillId="0" borderId="0" applyNumberFormat="0" applyFill="0" applyBorder="0" applyAlignment="0" applyProtection="0"/>
  </cellStyleXfs>
  <cellXfs count="652">
    <xf numFmtId="0" fontId="0" fillId="0" borderId="0" xfId="0"/>
    <xf numFmtId="0" fontId="0" fillId="0" borderId="1" xfId="0" applyBorder="1" applyAlignment="1">
      <alignment horizontal="center" vertical="center"/>
    </xf>
    <xf numFmtId="0" fontId="0" fillId="4" borderId="1" xfId="0" applyFill="1" applyBorder="1" applyAlignment="1">
      <alignment horizontal="center" vertical="center"/>
    </xf>
    <xf numFmtId="0" fontId="1" fillId="0" borderId="0" xfId="0" applyFont="1"/>
    <xf numFmtId="0" fontId="0" fillId="0" borderId="0" xfId="0" applyAlignment="1">
      <alignment vertical="center"/>
    </xf>
    <xf numFmtId="0" fontId="0" fillId="0" borderId="1" xfId="0" applyFill="1" applyBorder="1" applyAlignment="1">
      <alignment horizontal="center" vertical="center"/>
    </xf>
    <xf numFmtId="0" fontId="10" fillId="0" borderId="0" xfId="0" applyFont="1" applyAlignment="1">
      <alignment vertical="center" wrapText="1"/>
    </xf>
    <xf numFmtId="0" fontId="0" fillId="0" borderId="0" xfId="0" applyFill="1"/>
    <xf numFmtId="0" fontId="0" fillId="0" borderId="0" xfId="0" applyBorder="1"/>
    <xf numFmtId="0" fontId="0" fillId="0" borderId="0" xfId="0" applyBorder="1" applyAlignment="1">
      <alignment vertical="center"/>
    </xf>
    <xf numFmtId="0" fontId="0" fillId="14" borderId="15" xfId="0" applyFill="1" applyBorder="1" applyAlignment="1">
      <alignment horizontal="center" vertical="center"/>
    </xf>
    <xf numFmtId="0" fontId="0" fillId="14" borderId="18" xfId="0" applyFill="1" applyBorder="1" applyAlignment="1">
      <alignment horizontal="center" vertical="center"/>
    </xf>
    <xf numFmtId="0" fontId="0" fillId="12" borderId="15" xfId="0" applyFill="1" applyBorder="1" applyAlignment="1">
      <alignment horizontal="center" vertical="center"/>
    </xf>
    <xf numFmtId="0" fontId="0" fillId="12" borderId="18" xfId="0" applyFill="1" applyBorder="1" applyAlignment="1">
      <alignment horizontal="center" vertical="center"/>
    </xf>
    <xf numFmtId="0" fontId="0" fillId="9" borderId="15" xfId="0" applyFill="1" applyBorder="1" applyAlignment="1">
      <alignment horizontal="center" vertical="center"/>
    </xf>
    <xf numFmtId="0" fontId="0" fillId="9" borderId="18" xfId="0"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6" fillId="0" borderId="0" xfId="0" applyFont="1"/>
    <xf numFmtId="0" fontId="0" fillId="14" borderId="20" xfId="0" applyFill="1" applyBorder="1" applyAlignment="1">
      <alignment horizontal="center" vertical="center"/>
    </xf>
    <xf numFmtId="0" fontId="17" fillId="0" borderId="0" xfId="0" applyFont="1" applyBorder="1"/>
    <xf numFmtId="3" fontId="0" fillId="14" borderId="14" xfId="0" applyNumberFormat="1" applyFill="1" applyBorder="1" applyAlignment="1">
      <alignment horizontal="center" vertical="center"/>
    </xf>
    <xf numFmtId="3" fontId="0" fillId="14" borderId="0" xfId="0" applyNumberFormat="1" applyFill="1" applyBorder="1" applyAlignment="1">
      <alignment horizontal="center" vertical="center"/>
    </xf>
    <xf numFmtId="3" fontId="0" fillId="14" borderId="17" xfId="0" applyNumberFormat="1" applyFill="1" applyBorder="1" applyAlignment="1">
      <alignment horizontal="center" vertical="center"/>
    </xf>
    <xf numFmtId="0" fontId="19" fillId="0" borderId="0" xfId="0" applyFont="1" applyBorder="1"/>
    <xf numFmtId="3" fontId="0" fillId="18" borderId="14" xfId="0" applyNumberFormat="1" applyFill="1" applyBorder="1" applyAlignment="1">
      <alignment horizontal="center" vertical="center"/>
    </xf>
    <xf numFmtId="0" fontId="0" fillId="18" borderId="14" xfId="0" applyFill="1" applyBorder="1" applyAlignment="1">
      <alignment horizontal="center" vertical="center"/>
    </xf>
    <xf numFmtId="0" fontId="0" fillId="18" borderId="15" xfId="0" applyFill="1" applyBorder="1" applyAlignment="1">
      <alignment horizontal="left"/>
    </xf>
    <xf numFmtId="3" fontId="0" fillId="18" borderId="0" xfId="0" applyNumberFormat="1" applyFill="1" applyBorder="1" applyAlignment="1">
      <alignment horizontal="center" vertical="center"/>
    </xf>
    <xf numFmtId="0" fontId="0" fillId="18" borderId="0" xfId="0" applyFill="1" applyBorder="1" applyAlignment="1">
      <alignment horizontal="center" vertical="center"/>
    </xf>
    <xf numFmtId="0" fontId="0" fillId="18" borderId="20" xfId="0" applyFill="1" applyBorder="1" applyAlignment="1">
      <alignment horizontal="left"/>
    </xf>
    <xf numFmtId="3" fontId="0" fillId="18" borderId="17" xfId="0" applyNumberFormat="1" applyFill="1" applyBorder="1" applyAlignment="1">
      <alignment horizontal="center" vertical="center"/>
    </xf>
    <xf numFmtId="0" fontId="0" fillId="18" borderId="17" xfId="0" applyFill="1" applyBorder="1" applyAlignment="1">
      <alignment horizontal="center" vertical="center"/>
    </xf>
    <xf numFmtId="0" fontId="0" fillId="18" borderId="18" xfId="0" applyFill="1" applyBorder="1" applyAlignment="1">
      <alignment horizontal="left"/>
    </xf>
    <xf numFmtId="3" fontId="20" fillId="19" borderId="14" xfId="0" applyNumberFormat="1" applyFont="1" applyFill="1" applyBorder="1" applyAlignment="1">
      <alignment horizontal="center" vertical="center"/>
    </xf>
    <xf numFmtId="0" fontId="20" fillId="19" borderId="15" xfId="0" applyFont="1" applyFill="1" applyBorder="1" applyAlignment="1">
      <alignment horizontal="center" vertical="center"/>
    </xf>
    <xf numFmtId="4" fontId="20" fillId="19" borderId="17" xfId="0" applyNumberFormat="1" applyFont="1" applyFill="1" applyBorder="1" applyAlignment="1">
      <alignment horizontal="center" vertical="center"/>
    </xf>
    <xf numFmtId="0" fontId="20" fillId="19" borderId="18" xfId="0" applyFont="1" applyFill="1" applyBorder="1" applyAlignment="1">
      <alignment horizontal="center" vertical="center"/>
    </xf>
    <xf numFmtId="0" fontId="8" fillId="17" borderId="22" xfId="0" applyFont="1" applyFill="1" applyBorder="1" applyAlignment="1">
      <alignment horizontal="left" vertical="center"/>
    </xf>
    <xf numFmtId="0" fontId="8" fillId="17" borderId="23" xfId="0" applyFont="1" applyFill="1" applyBorder="1" applyAlignment="1">
      <alignment horizontal="left" vertical="center"/>
    </xf>
    <xf numFmtId="0" fontId="8" fillId="20" borderId="22" xfId="0" applyFont="1" applyFill="1" applyBorder="1" applyAlignment="1">
      <alignment horizontal="left" vertical="center"/>
    </xf>
    <xf numFmtId="0" fontId="8" fillId="20" borderId="23" xfId="0" applyFont="1" applyFill="1" applyBorder="1" applyAlignment="1">
      <alignment horizontal="left" vertical="center"/>
    </xf>
    <xf numFmtId="3" fontId="11" fillId="7" borderId="14" xfId="0" applyNumberFormat="1" applyFont="1" applyFill="1" applyBorder="1" applyAlignment="1">
      <alignment horizontal="center" vertical="center"/>
    </xf>
    <xf numFmtId="0" fontId="11" fillId="7" borderId="16" xfId="0" applyFont="1" applyFill="1" applyBorder="1" applyAlignment="1"/>
    <xf numFmtId="0" fontId="11" fillId="7" borderId="17" xfId="0" applyFont="1" applyFill="1" applyBorder="1" applyAlignment="1"/>
    <xf numFmtId="3" fontId="11" fillId="7" borderId="17" xfId="0" applyNumberFormat="1" applyFont="1" applyFill="1" applyBorder="1" applyAlignment="1"/>
    <xf numFmtId="0" fontId="23" fillId="0" borderId="0" xfId="0" applyFont="1" applyAlignment="1">
      <alignment horizontal="left" vertical="center"/>
    </xf>
    <xf numFmtId="0" fontId="43" fillId="0" borderId="0" xfId="0" applyFont="1" applyFill="1" applyBorder="1"/>
    <xf numFmtId="0" fontId="43" fillId="41" borderId="0" xfId="0" applyFont="1" applyFill="1" applyBorder="1"/>
    <xf numFmtId="0" fontId="43" fillId="43" borderId="42" xfId="2" applyFont="1" applyFill="1" applyBorder="1"/>
    <xf numFmtId="0" fontId="49" fillId="44" borderId="42" xfId="2" applyFont="1" applyFill="1" applyBorder="1"/>
    <xf numFmtId="0" fontId="43" fillId="43" borderId="0" xfId="0" applyFont="1" applyFill="1" applyBorder="1"/>
    <xf numFmtId="0" fontId="50" fillId="0" borderId="0" xfId="0" applyFont="1" applyFill="1" applyBorder="1" applyAlignment="1">
      <alignment wrapText="1"/>
    </xf>
    <xf numFmtId="0" fontId="51" fillId="0" borderId="0" xfId="14" applyFont="1" applyFill="1" applyBorder="1"/>
    <xf numFmtId="0" fontId="46" fillId="41" borderId="51" xfId="10" applyFont="1" applyFill="1" applyBorder="1" applyAlignment="1">
      <alignment vertical="top" wrapText="1"/>
    </xf>
    <xf numFmtId="0" fontId="46" fillId="42" borderId="53" xfId="10" applyFont="1" applyFill="1" applyBorder="1" applyAlignment="1">
      <alignment horizontal="center" vertical="top" wrapText="1"/>
    </xf>
    <xf numFmtId="0" fontId="46" fillId="42" borderId="54" xfId="10" applyFont="1" applyFill="1" applyBorder="1" applyAlignment="1">
      <alignment vertical="top" wrapText="1"/>
    </xf>
    <xf numFmtId="0" fontId="52" fillId="40" borderId="55" xfId="11" applyFont="1" applyFill="1" applyBorder="1" applyAlignment="1">
      <alignment vertical="top" wrapText="1"/>
    </xf>
    <xf numFmtId="0" fontId="52" fillId="45" borderId="55" xfId="11" applyFont="1" applyFill="1" applyBorder="1" applyAlignment="1">
      <alignment vertical="top" wrapText="1"/>
    </xf>
    <xf numFmtId="0" fontId="55" fillId="0" borderId="0" xfId="0" applyFont="1" applyFill="1" applyBorder="1" applyAlignment="1">
      <alignment vertical="center"/>
    </xf>
    <xf numFmtId="0" fontId="56" fillId="42" borderId="57" xfId="10" applyFont="1" applyFill="1" applyBorder="1" applyAlignment="1">
      <alignment vertical="top"/>
    </xf>
    <xf numFmtId="0" fontId="43" fillId="46" borderId="59" xfId="11" applyFont="1" applyFill="1" applyBorder="1" applyAlignment="1">
      <alignment vertical="top" wrapText="1"/>
    </xf>
    <xf numFmtId="0" fontId="43" fillId="0" borderId="0" xfId="0" applyFont="1" applyFill="1" applyBorder="1" applyProtection="1"/>
    <xf numFmtId="0" fontId="46" fillId="42" borderId="60" xfId="10" applyFont="1" applyFill="1" applyBorder="1" applyAlignment="1" applyProtection="1">
      <alignment horizontal="left" vertical="top" wrapText="1"/>
    </xf>
    <xf numFmtId="0" fontId="43" fillId="0" borderId="0" xfId="0" applyFont="1" applyFill="1" applyBorder="1" applyAlignment="1" applyProtection="1">
      <alignment vertical="top" wrapText="1"/>
    </xf>
    <xf numFmtId="0" fontId="46" fillId="42" borderId="61" xfId="10" applyFont="1" applyFill="1" applyBorder="1" applyProtection="1"/>
    <xf numFmtId="0" fontId="43" fillId="0" borderId="0" xfId="0" applyFont="1" applyFill="1" applyBorder="1" applyAlignment="1" applyProtection="1">
      <alignment horizontal="left" vertical="top" wrapText="1"/>
    </xf>
    <xf numFmtId="0" fontId="46" fillId="49" borderId="62" xfId="6" applyFont="1" applyFill="1" applyBorder="1" applyProtection="1"/>
    <xf numFmtId="0" fontId="43" fillId="50" borderId="62" xfId="8" applyFont="1" applyFill="1" applyBorder="1" applyProtection="1"/>
    <xf numFmtId="0" fontId="43" fillId="51" borderId="62" xfId="5" applyFont="1" applyFill="1" applyBorder="1" applyProtection="1"/>
    <xf numFmtId="0" fontId="60" fillId="0" borderId="0" xfId="0" applyFont="1" applyFill="1" applyBorder="1" applyProtection="1"/>
    <xf numFmtId="0" fontId="0" fillId="8" borderId="0" xfId="0" applyFill="1" applyBorder="1"/>
    <xf numFmtId="0" fontId="0" fillId="8" borderId="0" xfId="0" applyFill="1"/>
    <xf numFmtId="0" fontId="46" fillId="42" borderId="54" xfId="10" applyFont="1" applyFill="1" applyBorder="1" applyAlignment="1" applyProtection="1">
      <alignment vertical="top"/>
    </xf>
    <xf numFmtId="0" fontId="46" fillId="42" borderId="57" xfId="10" applyFont="1" applyFill="1" applyBorder="1" applyAlignment="1" applyProtection="1">
      <alignment vertical="top"/>
    </xf>
    <xf numFmtId="0" fontId="59" fillId="54" borderId="0" xfId="10" applyFont="1" applyFill="1" applyBorder="1" applyProtection="1"/>
    <xf numFmtId="0" fontId="43" fillId="54" borderId="0" xfId="4" applyFont="1" applyFill="1" applyBorder="1" applyAlignment="1" applyProtection="1">
      <alignment horizontal="left" vertical="top" wrapText="1"/>
    </xf>
    <xf numFmtId="0" fontId="48" fillId="54" borderId="0" xfId="4" applyFont="1" applyFill="1" applyBorder="1" applyProtection="1"/>
    <xf numFmtId="0" fontId="59" fillId="42" borderId="53" xfId="10" applyFont="1" applyFill="1" applyBorder="1" applyAlignment="1" applyProtection="1">
      <alignment wrapText="1"/>
    </xf>
    <xf numFmtId="0" fontId="58" fillId="53" borderId="55" xfId="13" applyFont="1" applyFill="1" applyBorder="1" applyAlignment="1" applyProtection="1">
      <alignment horizontal="left" vertical="top" wrapText="1"/>
    </xf>
    <xf numFmtId="0" fontId="58" fillId="53" borderId="55" xfId="13" applyFont="1" applyFill="1" applyBorder="1" applyProtection="1"/>
    <xf numFmtId="0" fontId="58" fillId="53" borderId="59" xfId="13" applyFont="1" applyFill="1" applyBorder="1" applyProtection="1"/>
    <xf numFmtId="0" fontId="62" fillId="42" borderId="51" xfId="10" applyFont="1" applyFill="1" applyBorder="1" applyAlignment="1" applyProtection="1"/>
    <xf numFmtId="0" fontId="63" fillId="0" borderId="0" xfId="0" applyFont="1" applyFill="1" applyBorder="1" applyProtection="1"/>
    <xf numFmtId="0" fontId="36" fillId="8" borderId="0" xfId="3" quotePrefix="1" applyFill="1" applyAlignment="1">
      <alignment horizontal="left" vertical="center"/>
    </xf>
    <xf numFmtId="0" fontId="66" fillId="8" borderId="0" xfId="0" applyFont="1" applyFill="1" applyBorder="1" applyAlignment="1">
      <alignment horizontal="left" vertical="center"/>
    </xf>
    <xf numFmtId="0" fontId="8" fillId="8" borderId="0" xfId="0" applyFont="1" applyFill="1" applyBorder="1" applyAlignment="1">
      <alignment horizontal="left" vertical="center"/>
    </xf>
    <xf numFmtId="0" fontId="35" fillId="16" borderId="2" xfId="0" applyFont="1" applyFill="1" applyBorder="1" applyAlignment="1" applyProtection="1">
      <alignment vertical="center"/>
    </xf>
    <xf numFmtId="0" fontId="32" fillId="0" borderId="0" xfId="0" applyFont="1" applyAlignment="1" applyProtection="1">
      <alignment vertical="center"/>
    </xf>
    <xf numFmtId="0" fontId="32" fillId="4" borderId="26" xfId="0" applyFont="1" applyFill="1" applyBorder="1" applyAlignment="1" applyProtection="1">
      <alignment vertical="center"/>
    </xf>
    <xf numFmtId="0" fontId="34" fillId="8" borderId="26" xfId="0" applyFont="1" applyFill="1" applyBorder="1" applyAlignment="1" applyProtection="1">
      <alignment vertical="center"/>
    </xf>
    <xf numFmtId="0" fontId="35" fillId="22" borderId="2" xfId="0" applyFont="1" applyFill="1" applyBorder="1" applyAlignment="1" applyProtection="1">
      <alignment vertical="center"/>
    </xf>
    <xf numFmtId="0" fontId="32" fillId="19" borderId="26" xfId="0" applyFont="1" applyFill="1" applyBorder="1" applyAlignment="1" applyProtection="1">
      <alignment vertical="center"/>
    </xf>
    <xf numFmtId="0" fontId="38" fillId="0" borderId="26" xfId="0" applyFont="1" applyFill="1" applyBorder="1" applyAlignment="1" applyProtection="1">
      <alignment horizontal="left" vertical="center"/>
    </xf>
    <xf numFmtId="0" fontId="0" fillId="19" borderId="26" xfId="0" applyFont="1" applyFill="1" applyBorder="1" applyAlignment="1" applyProtection="1">
      <alignment vertical="center"/>
    </xf>
    <xf numFmtId="0" fontId="35" fillId="20" borderId="2" xfId="0" applyFont="1" applyFill="1" applyBorder="1" applyAlignment="1" applyProtection="1">
      <alignment vertical="center"/>
    </xf>
    <xf numFmtId="0" fontId="32" fillId="12" borderId="26" xfId="0" applyFont="1" applyFill="1" applyBorder="1" applyAlignment="1" applyProtection="1">
      <alignment vertical="center"/>
    </xf>
    <xf numFmtId="0" fontId="0" fillId="12" borderId="26" xfId="0" applyFont="1" applyFill="1" applyBorder="1" applyAlignment="1" applyProtection="1">
      <alignment vertical="center"/>
    </xf>
    <xf numFmtId="0" fontId="32" fillId="9" borderId="26" xfId="0" applyFont="1" applyFill="1" applyBorder="1" applyAlignment="1" applyProtection="1">
      <alignment vertical="center"/>
    </xf>
    <xf numFmtId="0" fontId="39" fillId="16" borderId="27" xfId="0" applyFont="1" applyFill="1" applyBorder="1" applyAlignment="1" applyProtection="1">
      <alignment horizontal="center" vertical="center"/>
    </xf>
    <xf numFmtId="0" fontId="39" fillId="25" borderId="27" xfId="0" applyFont="1" applyFill="1" applyBorder="1" applyAlignment="1" applyProtection="1">
      <alignment horizontal="center" vertical="center"/>
    </xf>
    <xf numFmtId="0" fontId="39" fillId="21" borderId="27" xfId="0" applyFont="1" applyFill="1" applyBorder="1" applyAlignment="1" applyProtection="1">
      <alignment horizontal="center" vertical="center"/>
    </xf>
    <xf numFmtId="0" fontId="32" fillId="4" borderId="29" xfId="0" applyFont="1" applyFill="1" applyBorder="1" applyAlignment="1" applyProtection="1">
      <alignment horizontal="center" vertical="center" wrapText="1"/>
    </xf>
    <xf numFmtId="3" fontId="32" fillId="4" borderId="29" xfId="0" applyNumberFormat="1" applyFont="1" applyFill="1" applyBorder="1" applyAlignment="1" applyProtection="1">
      <alignment horizontal="center" vertical="center"/>
    </xf>
    <xf numFmtId="0" fontId="34" fillId="8" borderId="29" xfId="0" applyFont="1" applyFill="1" applyBorder="1" applyAlignment="1" applyProtection="1">
      <alignment horizontal="center" vertical="center"/>
    </xf>
    <xf numFmtId="166" fontId="32" fillId="4" borderId="29" xfId="0" applyNumberFormat="1" applyFont="1" applyFill="1" applyBorder="1" applyAlignment="1" applyProtection="1">
      <alignment horizontal="center" vertical="center"/>
    </xf>
    <xf numFmtId="3" fontId="32" fillId="19" borderId="29" xfId="0" applyNumberFormat="1" applyFont="1" applyFill="1" applyBorder="1" applyAlignment="1" applyProtection="1">
      <alignment horizontal="center" vertical="center"/>
    </xf>
    <xf numFmtId="0" fontId="10" fillId="8" borderId="29" xfId="0" applyFont="1" applyFill="1" applyBorder="1" applyAlignment="1" applyProtection="1">
      <alignment horizontal="center" vertical="center"/>
    </xf>
    <xf numFmtId="10" fontId="37" fillId="19" borderId="29" xfId="1" applyNumberFormat="1" applyFont="1" applyFill="1" applyBorder="1" applyAlignment="1" applyProtection="1">
      <alignment horizontal="center" vertical="center"/>
    </xf>
    <xf numFmtId="9" fontId="37" fillId="19" borderId="29" xfId="1" applyNumberFormat="1" applyFont="1" applyFill="1" applyBorder="1" applyAlignment="1" applyProtection="1">
      <alignment horizontal="center" vertical="center"/>
    </xf>
    <xf numFmtId="9" fontId="2" fillId="19" borderId="29" xfId="1" applyNumberFormat="1" applyFont="1" applyFill="1" applyBorder="1" applyAlignment="1" applyProtection="1">
      <alignment horizontal="center" vertical="center"/>
    </xf>
    <xf numFmtId="166" fontId="32" fillId="12" borderId="29" xfId="0" applyNumberFormat="1" applyFont="1" applyFill="1" applyBorder="1" applyAlignment="1" applyProtection="1">
      <alignment horizontal="center" vertical="center"/>
    </xf>
    <xf numFmtId="10" fontId="32" fillId="12" borderId="29" xfId="1" applyNumberFormat="1" applyFont="1" applyFill="1" applyBorder="1" applyAlignment="1" applyProtection="1">
      <alignment horizontal="center" vertical="center"/>
    </xf>
    <xf numFmtId="9" fontId="32" fillId="12" borderId="29" xfId="1" applyNumberFormat="1" applyFont="1" applyFill="1" applyBorder="1" applyAlignment="1" applyProtection="1">
      <alignment horizontal="center" vertical="center"/>
    </xf>
    <xf numFmtId="9" fontId="38" fillId="0" borderId="29" xfId="1" applyFont="1" applyFill="1" applyBorder="1" applyAlignment="1" applyProtection="1">
      <alignment horizontal="center" vertical="center"/>
    </xf>
    <xf numFmtId="167" fontId="32" fillId="9" borderId="29" xfId="0" applyNumberFormat="1" applyFont="1" applyFill="1" applyBorder="1" applyAlignment="1" applyProtection="1">
      <alignment horizontal="center" vertical="center"/>
    </xf>
    <xf numFmtId="3" fontId="32" fillId="9" borderId="29" xfId="1" applyNumberFormat="1" applyFont="1" applyFill="1" applyBorder="1" applyAlignment="1" applyProtection="1">
      <alignment horizontal="center" vertical="center"/>
    </xf>
    <xf numFmtId="9" fontId="38" fillId="0" borderId="29" xfId="1" applyNumberFormat="1" applyFont="1" applyFill="1" applyBorder="1" applyAlignment="1" applyProtection="1">
      <alignment horizontal="center" vertical="center"/>
    </xf>
    <xf numFmtId="9" fontId="38" fillId="0" borderId="31" xfId="1" applyNumberFormat="1" applyFont="1" applyFill="1" applyBorder="1" applyAlignment="1" applyProtection="1">
      <alignment horizontal="center" vertical="center"/>
    </xf>
    <xf numFmtId="0" fontId="40" fillId="0" borderId="0" xfId="0" applyFont="1" applyAlignment="1" applyProtection="1">
      <alignment vertical="center"/>
    </xf>
    <xf numFmtId="0" fontId="0" fillId="0" borderId="12" xfId="0" applyFont="1" applyBorder="1" applyAlignment="1" applyProtection="1">
      <alignment horizontal="center" vertical="center" wrapText="1"/>
    </xf>
    <xf numFmtId="0" fontId="32" fillId="0" borderId="12"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1" fontId="32" fillId="0" borderId="33" xfId="0" applyNumberFormat="1" applyFont="1" applyBorder="1" applyAlignment="1" applyProtection="1">
      <alignment horizontal="center" vertical="center" wrapText="1"/>
    </xf>
    <xf numFmtId="1" fontId="32" fillId="0" borderId="1" xfId="0" applyNumberFormat="1" applyFont="1" applyBorder="1" applyAlignment="1" applyProtection="1">
      <alignment horizontal="center" vertical="center" wrapText="1"/>
    </xf>
    <xf numFmtId="1" fontId="32" fillId="0" borderId="39" xfId="0" applyNumberFormat="1" applyFont="1" applyBorder="1" applyAlignment="1" applyProtection="1">
      <alignment horizontal="center" vertical="center" wrapText="1"/>
    </xf>
    <xf numFmtId="0" fontId="32" fillId="0" borderId="1" xfId="0" applyFont="1" applyBorder="1" applyAlignment="1" applyProtection="1">
      <alignment vertical="center"/>
    </xf>
    <xf numFmtId="9" fontId="32" fillId="0" borderId="1" xfId="1" applyFont="1" applyBorder="1" applyAlignment="1" applyProtection="1">
      <alignment vertical="center"/>
    </xf>
    <xf numFmtId="9" fontId="32" fillId="0" borderId="0" xfId="0" applyNumberFormat="1" applyFont="1" applyAlignment="1" applyProtection="1">
      <alignment vertical="center"/>
    </xf>
    <xf numFmtId="3" fontId="11" fillId="7" borderId="17" xfId="0" applyNumberFormat="1" applyFont="1" applyFill="1" applyBorder="1" applyAlignment="1">
      <alignment horizontal="center" vertical="center"/>
    </xf>
    <xf numFmtId="0" fontId="43" fillId="43" borderId="3" xfId="2" applyFont="1" applyFill="1" applyBorder="1" applyAlignment="1">
      <alignment vertical="top" wrapText="1"/>
    </xf>
    <xf numFmtId="0" fontId="49" fillId="44" borderId="3" xfId="2" applyFont="1" applyFill="1" applyBorder="1"/>
    <xf numFmtId="0" fontId="43" fillId="43" borderId="3" xfId="2" applyFont="1" applyFill="1" applyBorder="1" applyAlignment="1">
      <alignment wrapText="1"/>
    </xf>
    <xf numFmtId="0" fontId="43" fillId="48" borderId="61" xfId="4" applyFont="1" applyFill="1" applyBorder="1" applyAlignment="1" applyProtection="1">
      <alignment horizontal="left" vertical="top" wrapText="1"/>
    </xf>
    <xf numFmtId="0" fontId="22" fillId="38" borderId="62" xfId="12" applyBorder="1" applyAlignment="1" applyProtection="1">
      <alignment wrapText="1"/>
    </xf>
    <xf numFmtId="0" fontId="0" fillId="35" borderId="63" xfId="9" applyFont="1" applyBorder="1" applyProtection="1"/>
    <xf numFmtId="0" fontId="44" fillId="40" borderId="22" xfId="0" applyFont="1" applyFill="1" applyBorder="1" applyAlignment="1">
      <alignment horizontal="center"/>
    </xf>
    <xf numFmtId="0" fontId="44" fillId="40" borderId="23" xfId="0" applyFont="1" applyFill="1" applyBorder="1" applyAlignment="1">
      <alignment horizontal="center"/>
    </xf>
    <xf numFmtId="0" fontId="44" fillId="40" borderId="25" xfId="0" applyFont="1" applyFill="1" applyBorder="1" applyAlignment="1">
      <alignment horizontal="center"/>
    </xf>
    <xf numFmtId="0" fontId="45" fillId="0" borderId="22" xfId="0" applyFont="1" applyFill="1" applyBorder="1" applyAlignment="1">
      <alignment horizontal="center"/>
    </xf>
    <xf numFmtId="0" fontId="45" fillId="0" borderId="23" xfId="0" applyFont="1" applyFill="1" applyBorder="1" applyAlignment="1">
      <alignment horizontal="center"/>
    </xf>
    <xf numFmtId="0" fontId="45" fillId="0" borderId="25" xfId="0" applyFont="1" applyFill="1" applyBorder="1" applyAlignment="1">
      <alignment horizontal="center"/>
    </xf>
    <xf numFmtId="0" fontId="69" fillId="42" borderId="43" xfId="10" applyFont="1" applyFill="1" applyBorder="1" applyAlignment="1">
      <alignment horizontal="left" vertical="top" wrapText="1"/>
    </xf>
    <xf numFmtId="0" fontId="69" fillId="42" borderId="44" xfId="10" applyFont="1" applyFill="1" applyBorder="1" applyAlignment="1">
      <alignment horizontal="left" vertical="top" wrapText="1"/>
    </xf>
    <xf numFmtId="0" fontId="69" fillId="42" borderId="45" xfId="10" applyFont="1" applyFill="1" applyBorder="1" applyAlignment="1">
      <alignment horizontal="left" vertical="top" wrapText="1"/>
    </xf>
    <xf numFmtId="0" fontId="69" fillId="42" borderId="46" xfId="10" applyFont="1" applyFill="1" applyBorder="1" applyAlignment="1">
      <alignment horizontal="left" vertical="top" wrapText="1"/>
    </xf>
    <xf numFmtId="0" fontId="69" fillId="42" borderId="0" xfId="10" applyFont="1" applyFill="1" applyBorder="1" applyAlignment="1">
      <alignment horizontal="left" vertical="top" wrapText="1"/>
    </xf>
    <xf numFmtId="0" fontId="69" fillId="42" borderId="47" xfId="10" applyFont="1" applyFill="1" applyBorder="1" applyAlignment="1">
      <alignment horizontal="left" vertical="top" wrapText="1"/>
    </xf>
    <xf numFmtId="0" fontId="69" fillId="42" borderId="48" xfId="10" applyFont="1" applyFill="1" applyBorder="1" applyAlignment="1">
      <alignment horizontal="left" vertical="top" wrapText="1"/>
    </xf>
    <xf numFmtId="0" fontId="69" fillId="42" borderId="49" xfId="10" applyFont="1" applyFill="1" applyBorder="1" applyAlignment="1">
      <alignment horizontal="left" vertical="top" wrapText="1"/>
    </xf>
    <xf numFmtId="0" fontId="69" fillId="42" borderId="50" xfId="10" applyFont="1" applyFill="1" applyBorder="1" applyAlignment="1">
      <alignment horizontal="left" vertical="top" wrapText="1"/>
    </xf>
    <xf numFmtId="0" fontId="46" fillId="42" borderId="52" xfId="10" applyFont="1" applyFill="1" applyBorder="1" applyAlignment="1">
      <alignment horizontal="center" vertical="top" wrapText="1"/>
    </xf>
    <xf numFmtId="0" fontId="46" fillId="42" borderId="52" xfId="10" applyFont="1" applyFill="1" applyBorder="1" applyAlignment="1">
      <alignment horizontal="center" vertical="top"/>
    </xf>
    <xf numFmtId="0" fontId="58" fillId="46" borderId="1" xfId="0" applyFont="1" applyFill="1" applyBorder="1" applyAlignment="1">
      <alignment horizontal="left" wrapText="1"/>
    </xf>
    <xf numFmtId="0" fontId="52" fillId="40" borderId="1" xfId="11" applyFont="1" applyFill="1" applyBorder="1" applyAlignment="1">
      <alignment horizontal="left" vertical="top" wrapText="1"/>
    </xf>
    <xf numFmtId="0" fontId="52" fillId="45" borderId="56" xfId="11" applyFont="1" applyFill="1" applyBorder="1" applyAlignment="1">
      <alignment horizontal="left" vertical="top" wrapText="1"/>
    </xf>
    <xf numFmtId="0" fontId="48" fillId="45" borderId="56" xfId="11" applyFont="1" applyFill="1" applyBorder="1" applyAlignment="1">
      <alignment horizontal="left" vertical="top" wrapText="1"/>
    </xf>
    <xf numFmtId="0" fontId="43" fillId="46" borderId="58" xfId="11" applyFont="1" applyFill="1" applyBorder="1" applyAlignment="1">
      <alignment horizontal="left" vertical="top" wrapText="1"/>
    </xf>
    <xf numFmtId="0" fontId="52" fillId="46" borderId="58" xfId="11" applyFont="1" applyFill="1" applyBorder="1" applyAlignment="1">
      <alignment horizontal="left" vertical="top" wrapText="1"/>
    </xf>
    <xf numFmtId="0" fontId="58" fillId="46" borderId="58" xfId="11" applyFont="1" applyFill="1" applyBorder="1" applyAlignment="1">
      <alignment horizontal="left" vertical="top" wrapText="1"/>
    </xf>
    <xf numFmtId="0" fontId="46" fillId="47" borderId="43" xfId="0" applyFont="1" applyFill="1" applyBorder="1" applyAlignment="1">
      <alignment horizontal="center" vertical="top"/>
    </xf>
    <xf numFmtId="0" fontId="46" fillId="47" borderId="44" xfId="0" applyFont="1" applyFill="1" applyBorder="1" applyAlignment="1">
      <alignment horizontal="center" vertical="top"/>
    </xf>
    <xf numFmtId="0" fontId="46" fillId="47" borderId="45" xfId="0" applyFont="1" applyFill="1" applyBorder="1" applyAlignment="1">
      <alignment horizontal="center" vertical="top"/>
    </xf>
    <xf numFmtId="0" fontId="46" fillId="54" borderId="0" xfId="10" applyFont="1" applyFill="1" applyBorder="1" applyAlignment="1" applyProtection="1">
      <alignment horizontal="left" vertical="top" wrapText="1"/>
    </xf>
    <xf numFmtId="0" fontId="44" fillId="40" borderId="22" xfId="0" applyFont="1" applyFill="1" applyBorder="1" applyAlignment="1" applyProtection="1">
      <alignment horizontal="left"/>
    </xf>
    <xf numFmtId="0" fontId="44" fillId="40" borderId="25" xfId="0" applyFont="1" applyFill="1" applyBorder="1" applyAlignment="1" applyProtection="1">
      <alignment horizontal="left"/>
    </xf>
    <xf numFmtId="0" fontId="36" fillId="29" borderId="43" xfId="3" quotePrefix="1" applyBorder="1" applyAlignment="1">
      <alignment horizontal="left" vertical="top" wrapText="1"/>
    </xf>
    <xf numFmtId="0" fontId="36" fillId="29" borderId="44" xfId="3" quotePrefix="1" applyBorder="1" applyAlignment="1">
      <alignment horizontal="left" vertical="top" wrapText="1"/>
    </xf>
    <xf numFmtId="0" fontId="36" fillId="29" borderId="45" xfId="3" quotePrefix="1" applyBorder="1" applyAlignment="1">
      <alignment horizontal="left" vertical="top" wrapText="1"/>
    </xf>
    <xf numFmtId="0" fontId="36" fillId="29" borderId="46" xfId="3" quotePrefix="1" applyBorder="1" applyAlignment="1">
      <alignment horizontal="left" vertical="top" wrapText="1"/>
    </xf>
    <xf numFmtId="0" fontId="36" fillId="29" borderId="0" xfId="3" quotePrefix="1" applyBorder="1" applyAlignment="1">
      <alignment horizontal="left" vertical="top" wrapText="1"/>
    </xf>
    <xf numFmtId="0" fontId="36" fillId="29" borderId="47" xfId="3" quotePrefix="1" applyBorder="1" applyAlignment="1">
      <alignment horizontal="left" vertical="top" wrapText="1"/>
    </xf>
    <xf numFmtId="0" fontId="36" fillId="29" borderId="48" xfId="3" quotePrefix="1" applyBorder="1" applyAlignment="1">
      <alignment horizontal="left" vertical="top" wrapText="1"/>
    </xf>
    <xf numFmtId="0" fontId="36" fillId="29" borderId="49" xfId="3" quotePrefix="1" applyBorder="1" applyAlignment="1">
      <alignment horizontal="left" vertical="top" wrapText="1"/>
    </xf>
    <xf numFmtId="0" fontId="36" fillId="29" borderId="50" xfId="3" quotePrefix="1" applyBorder="1" applyAlignment="1">
      <alignment horizontal="left" vertical="top" wrapText="1"/>
    </xf>
    <xf numFmtId="0" fontId="43" fillId="51" borderId="1" xfId="5" applyFont="1" applyFill="1" applyBorder="1" applyAlignment="1" applyProtection="1">
      <alignment vertical="top" wrapText="1"/>
    </xf>
    <xf numFmtId="0" fontId="59" fillId="42" borderId="52" xfId="10" applyFont="1" applyFill="1" applyBorder="1" applyAlignment="1" applyProtection="1">
      <alignment horizontal="center"/>
    </xf>
    <xf numFmtId="0" fontId="43" fillId="51" borderId="58" xfId="5" applyFont="1" applyFill="1" applyBorder="1" applyAlignment="1" applyProtection="1">
      <alignment vertical="top" wrapText="1"/>
    </xf>
    <xf numFmtId="0" fontId="44" fillId="40" borderId="22" xfId="0" applyFont="1" applyFill="1" applyBorder="1" applyAlignment="1" applyProtection="1">
      <alignment horizontal="center"/>
    </xf>
    <xf numFmtId="0" fontId="44" fillId="40" borderId="23" xfId="0" applyFont="1" applyFill="1" applyBorder="1" applyAlignment="1" applyProtection="1">
      <alignment horizontal="center"/>
    </xf>
    <xf numFmtId="0" fontId="44" fillId="40" borderId="25" xfId="0" applyFont="1" applyFill="1" applyBorder="1" applyAlignment="1" applyProtection="1">
      <alignment horizontal="center"/>
    </xf>
    <xf numFmtId="0" fontId="39" fillId="10" borderId="22" xfId="0" applyFont="1" applyFill="1" applyBorder="1" applyAlignment="1" applyProtection="1">
      <alignment horizontal="center"/>
    </xf>
    <xf numFmtId="0" fontId="39" fillId="10" borderId="23" xfId="0" applyFont="1" applyFill="1" applyBorder="1" applyAlignment="1" applyProtection="1">
      <alignment horizontal="center"/>
    </xf>
    <xf numFmtId="0" fontId="39" fillId="10" borderId="25" xfId="0" applyFont="1" applyFill="1" applyBorder="1" applyAlignment="1" applyProtection="1">
      <alignment horizontal="center"/>
    </xf>
    <xf numFmtId="3" fontId="11" fillId="6" borderId="14" xfId="0" applyNumberFormat="1" applyFont="1" applyFill="1" applyBorder="1" applyAlignment="1">
      <alignment horizontal="center" vertical="center"/>
    </xf>
    <xf numFmtId="0" fontId="11" fillId="6" borderId="13" xfId="0" applyFont="1" applyFill="1" applyBorder="1" applyAlignment="1">
      <alignment horizontal="left"/>
    </xf>
    <xf numFmtId="0" fontId="11" fillId="6" borderId="14" xfId="0" applyFont="1" applyFill="1" applyBorder="1" applyAlignment="1">
      <alignment horizontal="left"/>
    </xf>
    <xf numFmtId="0" fontId="0" fillId="12" borderId="16" xfId="0" applyFill="1" applyBorder="1" applyAlignment="1">
      <alignment horizontal="left"/>
    </xf>
    <xf numFmtId="0" fontId="0" fillId="12" borderId="17" xfId="0" applyFill="1" applyBorder="1" applyAlignment="1">
      <alignment horizontal="left"/>
    </xf>
    <xf numFmtId="0" fontId="0" fillId="9" borderId="13" xfId="0" applyFill="1" applyBorder="1" applyAlignment="1">
      <alignment horizontal="left"/>
    </xf>
    <xf numFmtId="0" fontId="0" fillId="9" borderId="14"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3" fontId="0" fillId="12" borderId="14" xfId="0" applyNumberFormat="1" applyFill="1" applyBorder="1" applyAlignment="1">
      <alignment horizontal="center" vertical="center"/>
    </xf>
    <xf numFmtId="0" fontId="0" fillId="14" borderId="16" xfId="0" applyFill="1" applyBorder="1" applyAlignment="1">
      <alignment horizontal="left"/>
    </xf>
    <xf numFmtId="0" fontId="0" fillId="14" borderId="17" xfId="0" applyFill="1" applyBorder="1" applyAlignment="1">
      <alignment horizontal="left"/>
    </xf>
    <xf numFmtId="0" fontId="21" fillId="19" borderId="16" xfId="0" applyFont="1" applyFill="1" applyBorder="1" applyAlignment="1">
      <alignment horizontal="left"/>
    </xf>
    <xf numFmtId="0" fontId="21" fillId="19" borderId="17" xfId="0" applyFont="1" applyFill="1" applyBorder="1" applyAlignment="1">
      <alignment horizontal="left"/>
    </xf>
    <xf numFmtId="0" fontId="21" fillId="19" borderId="13" xfId="0" applyFont="1" applyFill="1" applyBorder="1" applyAlignment="1">
      <alignment horizontal="left"/>
    </xf>
    <xf numFmtId="0" fontId="21" fillId="19" borderId="14" xfId="0" applyFont="1" applyFill="1" applyBorder="1" applyAlignment="1">
      <alignment horizontal="left"/>
    </xf>
    <xf numFmtId="0" fontId="2"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15" borderId="24"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25" xfId="0" applyFont="1" applyFill="1" applyBorder="1" applyAlignment="1">
      <alignment horizontal="center" vertical="center" wrapText="1"/>
    </xf>
    <xf numFmtId="3" fontId="11" fillId="7" borderId="17" xfId="0" applyNumberFormat="1" applyFont="1" applyFill="1" applyBorder="1" applyAlignment="1">
      <alignment horizontal="center" vertical="center"/>
    </xf>
    <xf numFmtId="3" fontId="11" fillId="7" borderId="18" xfId="0" applyNumberFormat="1"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6" fillId="8" borderId="0" xfId="0" applyFont="1" applyFill="1" applyBorder="1" applyAlignment="1">
      <alignment horizontal="center" vertical="center" wrapText="1"/>
    </xf>
    <xf numFmtId="3" fontId="0" fillId="12" borderId="17" xfId="0" applyNumberFormat="1" applyFill="1" applyBorder="1" applyAlignment="1">
      <alignment horizontal="center" vertical="center"/>
    </xf>
    <xf numFmtId="3" fontId="0" fillId="9" borderId="14" xfId="0" applyNumberFormat="1" applyFill="1" applyBorder="1" applyAlignment="1">
      <alignment horizontal="center" vertical="center"/>
    </xf>
    <xf numFmtId="165" fontId="0" fillId="9" borderId="17" xfId="0" applyNumberFormat="1" applyFill="1" applyBorder="1" applyAlignment="1">
      <alignment horizontal="center" vertical="center"/>
    </xf>
    <xf numFmtId="0" fontId="11" fillId="6" borderId="16" xfId="0" applyFont="1" applyFill="1" applyBorder="1" applyAlignment="1">
      <alignment horizontal="left"/>
    </xf>
    <xf numFmtId="0" fontId="11" fillId="6" borderId="17" xfId="0" applyFont="1" applyFill="1" applyBorder="1" applyAlignment="1">
      <alignment horizontal="left"/>
    </xf>
    <xf numFmtId="4" fontId="11" fillId="6" borderId="17" xfId="0" applyNumberFormat="1" applyFont="1" applyFill="1" applyBorder="1" applyAlignment="1">
      <alignment horizontal="center" vertical="center"/>
    </xf>
    <xf numFmtId="0" fontId="11" fillId="7" borderId="13" xfId="0" applyFont="1" applyFill="1" applyBorder="1" applyAlignment="1">
      <alignment horizontal="left"/>
    </xf>
    <xf numFmtId="0" fontId="11" fillId="7" borderId="14" xfId="0" applyFont="1" applyFill="1" applyBorder="1" applyAlignment="1">
      <alignment horizontal="left"/>
    </xf>
    <xf numFmtId="0" fontId="0" fillId="14" borderId="13" xfId="0" applyFill="1" applyBorder="1" applyAlignment="1">
      <alignment horizontal="left"/>
    </xf>
    <xf numFmtId="0" fontId="0" fillId="14" borderId="14" xfId="0" applyFill="1" applyBorder="1" applyAlignment="1">
      <alignment horizontal="left"/>
    </xf>
    <xf numFmtId="0" fontId="0" fillId="14" borderId="19" xfId="0" applyFill="1" applyBorder="1" applyAlignment="1">
      <alignment horizontal="left"/>
    </xf>
    <xf numFmtId="0" fontId="0" fillId="14" borderId="0" xfId="0" applyFill="1" applyBorder="1" applyAlignment="1">
      <alignment horizontal="left"/>
    </xf>
    <xf numFmtId="0" fontId="0" fillId="18" borderId="13" xfId="0" applyFill="1" applyBorder="1" applyAlignment="1">
      <alignment horizontal="left" vertical="top" wrapText="1"/>
    </xf>
    <xf numFmtId="0" fontId="0" fillId="18" borderId="14" xfId="0" applyFill="1" applyBorder="1" applyAlignment="1">
      <alignment horizontal="left" vertical="top" wrapText="1"/>
    </xf>
    <xf numFmtId="0" fontId="0" fillId="18" borderId="19" xfId="0" applyFill="1" applyBorder="1" applyAlignment="1">
      <alignment horizontal="left" vertical="top" wrapText="1"/>
    </xf>
    <xf numFmtId="0" fontId="0" fillId="18" borderId="0" xfId="0" applyFill="1" applyBorder="1" applyAlignment="1">
      <alignment horizontal="left" vertical="top" wrapText="1"/>
    </xf>
    <xf numFmtId="0" fontId="0" fillId="18" borderId="16" xfId="0" applyFill="1" applyBorder="1" applyAlignment="1">
      <alignment horizontal="left" vertical="top" wrapText="1"/>
    </xf>
    <xf numFmtId="0" fontId="0" fillId="18" borderId="17" xfId="0" applyFill="1" applyBorder="1" applyAlignment="1">
      <alignment horizontal="left" vertical="top" wrapText="1"/>
    </xf>
    <xf numFmtId="0" fontId="0" fillId="12" borderId="13" xfId="0" applyFill="1" applyBorder="1" applyAlignment="1">
      <alignment horizontal="left"/>
    </xf>
    <xf numFmtId="0" fontId="0" fillId="12" borderId="14" xfId="0" applyFill="1" applyBorder="1" applyAlignment="1">
      <alignment horizontal="left"/>
    </xf>
    <xf numFmtId="0" fontId="33" fillId="23" borderId="9" xfId="0" applyFont="1" applyFill="1" applyBorder="1" applyAlignment="1" applyProtection="1">
      <alignment horizontal="left" vertical="center" wrapText="1"/>
    </xf>
    <xf numFmtId="0" fontId="33" fillId="23" borderId="10" xfId="0" applyFont="1" applyFill="1" applyBorder="1" applyAlignment="1" applyProtection="1">
      <alignment horizontal="left" vertical="center" wrapText="1"/>
    </xf>
    <xf numFmtId="0" fontId="33" fillId="23" borderId="11" xfId="0" applyFont="1" applyFill="1" applyBorder="1" applyAlignment="1" applyProtection="1">
      <alignment horizontal="left" vertical="center" wrapText="1"/>
    </xf>
    <xf numFmtId="0" fontId="0" fillId="23" borderId="1" xfId="0" applyFont="1" applyFill="1" applyBorder="1" applyAlignment="1" applyProtection="1">
      <alignment horizontal="left" vertical="center"/>
    </xf>
    <xf numFmtId="0" fontId="0" fillId="24" borderId="1" xfId="0" applyFont="1" applyFill="1" applyBorder="1" applyAlignment="1" applyProtection="1">
      <alignment horizontal="left" vertical="center"/>
    </xf>
    <xf numFmtId="0" fontId="32" fillId="24" borderId="1" xfId="0" applyFont="1" applyFill="1" applyBorder="1" applyAlignment="1" applyProtection="1">
      <alignment horizontal="left" vertical="center"/>
    </xf>
    <xf numFmtId="0" fontId="24" fillId="0" borderId="0" xfId="0" applyFont="1" applyAlignment="1" applyProtection="1">
      <alignment horizontal="left" vertical="center"/>
    </xf>
    <xf numFmtId="0" fontId="1"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vertical="center" wrapText="1"/>
    </xf>
    <xf numFmtId="0" fontId="26" fillId="8" borderId="0" xfId="0" applyFont="1" applyFill="1" applyBorder="1" applyAlignment="1" applyProtection="1">
      <alignment horizontal="left" vertical="center" wrapText="1"/>
    </xf>
    <xf numFmtId="0" fontId="36" fillId="29" borderId="22" xfId="3" applyBorder="1" applyAlignment="1" applyProtection="1">
      <alignment horizontal="left" vertical="top" wrapText="1"/>
    </xf>
    <xf numFmtId="0" fontId="36" fillId="29" borderId="23" xfId="3" applyBorder="1" applyAlignment="1" applyProtection="1">
      <alignment horizontal="left" vertical="top" wrapText="1"/>
    </xf>
    <xf numFmtId="0" fontId="36" fillId="29" borderId="25" xfId="3" applyBorder="1" applyAlignment="1" applyProtection="1">
      <alignment horizontal="left" vertical="top" wrapText="1"/>
    </xf>
    <xf numFmtId="0" fontId="26" fillId="8" borderId="0" xfId="0" applyFont="1" applyFill="1" applyBorder="1" applyAlignment="1" applyProtection="1">
      <alignment horizontal="left" vertical="center" wrapText="1"/>
    </xf>
    <xf numFmtId="0" fontId="25" fillId="0" borderId="0" xfId="0" applyFont="1" applyAlignment="1" applyProtection="1">
      <alignment horizontal="center" vertical="center" wrapText="1"/>
    </xf>
    <xf numFmtId="0" fontId="36" fillId="29" borderId="22" xfId="3" applyBorder="1" applyAlignment="1" applyProtection="1">
      <alignment vertical="center" wrapText="1"/>
    </xf>
    <xf numFmtId="0" fontId="0" fillId="37" borderId="23" xfId="11" applyFont="1" applyBorder="1" applyAlignment="1" applyProtection="1">
      <alignment horizontal="left" vertical="top"/>
    </xf>
    <xf numFmtId="0" fontId="22" fillId="37" borderId="23" xfId="11" applyBorder="1" applyAlignment="1" applyProtection="1">
      <alignment horizontal="left" vertical="top"/>
    </xf>
    <xf numFmtId="0" fontId="22" fillId="37" borderId="25" xfId="11" applyBorder="1" applyAlignment="1" applyProtection="1">
      <alignment horizontal="left" vertical="top"/>
    </xf>
    <xf numFmtId="0" fontId="27" fillId="0" borderId="0" xfId="0" applyFont="1" applyFill="1" applyAlignment="1" applyProtection="1">
      <alignment horizontal="left" vertical="center"/>
    </xf>
    <xf numFmtId="0" fontId="36" fillId="29" borderId="51" xfId="3" applyBorder="1" applyAlignment="1" applyProtection="1">
      <alignment horizontal="center" vertical="center" wrapText="1"/>
    </xf>
    <xf numFmtId="0" fontId="36" fillId="29" borderId="52" xfId="3" applyBorder="1" applyAlignment="1" applyProtection="1">
      <alignment horizontal="center" vertical="center" wrapText="1"/>
    </xf>
    <xf numFmtId="0" fontId="36" fillId="29" borderId="53" xfId="3" applyBorder="1" applyAlignment="1" applyProtection="1">
      <alignment horizontal="center" vertical="center" wrapText="1"/>
    </xf>
    <xf numFmtId="0" fontId="36" fillId="29" borderId="43" xfId="3" applyBorder="1" applyAlignment="1" applyProtection="1">
      <alignment horizontal="left" vertical="top" wrapText="1"/>
    </xf>
    <xf numFmtId="0" fontId="36" fillId="29" borderId="44" xfId="3" applyBorder="1" applyAlignment="1" applyProtection="1">
      <alignment horizontal="left" vertical="top" wrapText="1"/>
    </xf>
    <xf numFmtId="0" fontId="36" fillId="29" borderId="45" xfId="3" applyBorder="1" applyAlignment="1" applyProtection="1">
      <alignment horizontal="left" vertical="top" wrapText="1"/>
    </xf>
    <xf numFmtId="3" fontId="25" fillId="5" borderId="78" xfId="0" applyNumberFormat="1" applyFont="1" applyFill="1" applyBorder="1" applyAlignment="1" applyProtection="1">
      <alignment horizontal="center" vertical="center"/>
    </xf>
    <xf numFmtId="0" fontId="25" fillId="0" borderId="69" xfId="0" applyFont="1" applyBorder="1" applyAlignment="1" applyProtection="1">
      <alignment horizontal="center" vertical="center"/>
    </xf>
    <xf numFmtId="0" fontId="25" fillId="0" borderId="79" xfId="0" applyFont="1" applyBorder="1" applyAlignment="1" applyProtection="1">
      <alignment horizontal="center" vertical="center"/>
    </xf>
    <xf numFmtId="4" fontId="0" fillId="5" borderId="78" xfId="0" applyNumberFormat="1" applyFont="1" applyFill="1" applyBorder="1" applyAlignment="1" applyProtection="1">
      <alignment horizontal="center" vertical="center"/>
    </xf>
    <xf numFmtId="4" fontId="0" fillId="5" borderId="69" xfId="0" applyNumberFormat="1" applyFont="1" applyFill="1" applyBorder="1" applyAlignment="1" applyProtection="1">
      <alignment horizontal="center" vertical="center"/>
    </xf>
    <xf numFmtId="0" fontId="43" fillId="8" borderId="79" xfId="0" applyNumberFormat="1" applyFont="1" applyFill="1" applyBorder="1" applyAlignment="1" applyProtection="1">
      <alignment horizontal="center" vertical="center"/>
    </xf>
    <xf numFmtId="0" fontId="36" fillId="29" borderId="46" xfId="3" applyBorder="1" applyAlignment="1" applyProtection="1">
      <alignment horizontal="left" vertical="top" wrapText="1"/>
    </xf>
    <xf numFmtId="0" fontId="36" fillId="29" borderId="0" xfId="3" applyBorder="1" applyAlignment="1" applyProtection="1">
      <alignment horizontal="left" vertical="top" wrapText="1"/>
    </xf>
    <xf numFmtId="0" fontId="36" fillId="29" borderId="47" xfId="3" applyBorder="1" applyAlignment="1" applyProtection="1">
      <alignment horizontal="left" vertical="top" wrapText="1"/>
    </xf>
    <xf numFmtId="0" fontId="36" fillId="29" borderId="51" xfId="3" applyBorder="1" applyAlignment="1" applyProtection="1">
      <alignment horizontal="center" vertical="center"/>
    </xf>
    <xf numFmtId="0" fontId="36" fillId="29" borderId="52" xfId="3" applyBorder="1" applyAlignment="1" applyProtection="1">
      <alignment horizontal="center" vertical="center"/>
    </xf>
    <xf numFmtId="0" fontId="36" fillId="29" borderId="53" xfId="3" applyBorder="1" applyAlignment="1" applyProtection="1">
      <alignment horizontal="center" vertical="center"/>
    </xf>
    <xf numFmtId="0" fontId="22" fillId="30" borderId="76" xfId="4" applyBorder="1" applyAlignment="1" applyProtection="1">
      <alignment horizontal="center" vertical="center" wrapText="1"/>
    </xf>
    <xf numFmtId="0" fontId="22" fillId="30" borderId="3" xfId="4" applyBorder="1" applyAlignment="1" applyProtection="1">
      <alignment horizontal="center" vertical="center" wrapText="1"/>
    </xf>
    <xf numFmtId="0" fontId="2" fillId="37" borderId="55" xfId="11" applyFont="1" applyBorder="1" applyAlignment="1" applyProtection="1">
      <alignment horizontal="center" vertical="center"/>
    </xf>
    <xf numFmtId="0" fontId="22" fillId="30" borderId="76" xfId="4" applyBorder="1" applyAlignment="1" applyProtection="1">
      <alignment horizontal="center" vertical="center"/>
    </xf>
    <xf numFmtId="0" fontId="22" fillId="30" borderId="3" xfId="4" applyBorder="1" applyAlignment="1" applyProtection="1">
      <alignment horizontal="center" vertical="center"/>
    </xf>
    <xf numFmtId="0" fontId="0" fillId="0" borderId="0" xfId="0" applyFont="1" applyAlignment="1" applyProtection="1">
      <alignment vertical="center" wrapText="1"/>
    </xf>
    <xf numFmtId="0" fontId="36" fillId="29" borderId="48" xfId="3" applyBorder="1" applyAlignment="1" applyProtection="1">
      <alignment horizontal="left" vertical="top" wrapText="1"/>
    </xf>
    <xf numFmtId="0" fontId="36" fillId="29" borderId="49" xfId="3" applyBorder="1" applyAlignment="1" applyProtection="1">
      <alignment horizontal="left" vertical="top" wrapText="1"/>
    </xf>
    <xf numFmtId="0" fontId="36" fillId="29" borderId="50" xfId="3" applyBorder="1" applyAlignment="1" applyProtection="1">
      <alignment horizontal="left" vertical="top" wrapText="1"/>
    </xf>
    <xf numFmtId="0" fontId="22" fillId="30" borderId="78" xfId="4" applyBorder="1" applyAlignment="1" applyProtection="1">
      <alignment horizontal="center" vertical="center"/>
    </xf>
    <xf numFmtId="0" fontId="22" fillId="30" borderId="70" xfId="4" applyBorder="1" applyAlignment="1" applyProtection="1">
      <alignment horizontal="center" vertical="center"/>
    </xf>
    <xf numFmtId="0" fontId="2" fillId="37" borderId="59" xfId="11" applyFont="1" applyBorder="1" applyAlignment="1" applyProtection="1">
      <alignment horizontal="center" vertical="center"/>
    </xf>
    <xf numFmtId="0" fontId="39" fillId="29" borderId="22" xfId="3" applyFont="1" applyBorder="1" applyAlignment="1" applyProtection="1">
      <alignment horizontal="left" vertical="center" wrapText="1"/>
    </xf>
    <xf numFmtId="0" fontId="39" fillId="29" borderId="23" xfId="3" applyFont="1" applyBorder="1" applyAlignment="1" applyProtection="1">
      <alignment horizontal="left" vertical="center" wrapText="1"/>
    </xf>
    <xf numFmtId="0" fontId="39" fillId="29" borderId="25" xfId="3" applyFont="1" applyBorder="1" applyAlignment="1" applyProtection="1">
      <alignment horizontal="left" vertical="center" wrapText="1"/>
    </xf>
    <xf numFmtId="0" fontId="36" fillId="29" borderId="1" xfId="3" applyBorder="1" applyAlignment="1" applyProtection="1">
      <alignment horizontal="center" vertical="center" wrapText="1"/>
    </xf>
    <xf numFmtId="0" fontId="25" fillId="0" borderId="0" xfId="0" applyFont="1" applyAlignment="1" applyProtection="1">
      <alignment horizontal="center" vertical="center"/>
    </xf>
    <xf numFmtId="0" fontId="36" fillId="29" borderId="1" xfId="3" applyBorder="1" applyAlignment="1" applyProtection="1">
      <alignment horizontal="center" vertical="center" wrapText="1"/>
    </xf>
    <xf numFmtId="0" fontId="36" fillId="8" borderId="0" xfId="3" applyFill="1" applyBorder="1" applyAlignment="1" applyProtection="1">
      <alignment horizontal="center" vertical="center" wrapText="1"/>
    </xf>
    <xf numFmtId="0" fontId="36" fillId="29" borderId="2" xfId="3" applyBorder="1" applyAlignment="1" applyProtection="1">
      <alignment horizontal="center" vertical="center" wrapText="1"/>
    </xf>
    <xf numFmtId="0" fontId="36" fillId="29" borderId="4" xfId="3" applyBorder="1" applyAlignment="1" applyProtection="1">
      <alignment horizontal="center" vertical="center" wrapText="1"/>
    </xf>
    <xf numFmtId="0" fontId="36" fillId="8" borderId="6" xfId="3" applyFill="1" applyBorder="1" applyAlignment="1" applyProtection="1">
      <alignment horizontal="center" vertical="center" wrapText="1"/>
    </xf>
    <xf numFmtId="0" fontId="42" fillId="29" borderId="4" xfId="14" applyFont="1" applyFill="1" applyBorder="1" applyAlignment="1" applyProtection="1">
      <alignment horizontal="center" vertical="center" wrapText="1"/>
    </xf>
    <xf numFmtId="0" fontId="42" fillId="29" borderId="3" xfId="14" applyFont="1" applyFill="1" applyBorder="1" applyAlignment="1" applyProtection="1">
      <alignment horizontal="center" vertical="center" wrapText="1"/>
    </xf>
    <xf numFmtId="0" fontId="36" fillId="29" borderId="3" xfId="3" applyBorder="1" applyAlignment="1" applyProtection="1">
      <alignment horizontal="center" vertical="center" wrapText="1"/>
    </xf>
    <xf numFmtId="0" fontId="22" fillId="37" borderId="1" xfId="11" applyBorder="1" applyAlignment="1" applyProtection="1">
      <alignment horizontal="center" vertical="center" wrapText="1"/>
    </xf>
    <xf numFmtId="4" fontId="25" fillId="5" borderId="2" xfId="0" applyNumberFormat="1" applyFont="1" applyFill="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0" fillId="8" borderId="0" xfId="0" applyFont="1" applyFill="1" applyBorder="1" applyAlignment="1" applyProtection="1">
      <alignment horizontal="center" vertical="center" wrapText="1"/>
    </xf>
    <xf numFmtId="165" fontId="22" fillId="38" borderId="2" xfId="12" applyNumberForma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2" fillId="8" borderId="6" xfId="12" applyFill="1" applyBorder="1" applyAlignment="1" applyProtection="1">
      <alignment horizontal="center" vertical="center" wrapText="1"/>
    </xf>
    <xf numFmtId="4" fontId="22" fillId="38" borderId="4" xfId="12" applyNumberFormat="1" applyBorder="1" applyAlignment="1" applyProtection="1">
      <alignment horizontal="center" vertical="center" wrapText="1"/>
    </xf>
    <xf numFmtId="4" fontId="36" fillId="32" borderId="2" xfId="6" applyNumberFormat="1" applyBorder="1" applyAlignment="1" applyProtection="1">
      <alignment horizontal="center" vertical="center" wrapText="1"/>
    </xf>
    <xf numFmtId="4" fontId="25" fillId="5" borderId="2" xfId="0" applyNumberFormat="1" applyFont="1" applyFill="1" applyBorder="1" applyAlignment="1" applyProtection="1">
      <alignment horizontal="center" vertical="center"/>
    </xf>
    <xf numFmtId="0" fontId="0" fillId="0" borderId="0" xfId="0" applyFont="1" applyAlignment="1" applyProtection="1">
      <alignment vertical="center"/>
    </xf>
    <xf numFmtId="4" fontId="25" fillId="5" borderId="86" xfId="0" applyNumberFormat="1" applyFont="1" applyFill="1" applyBorder="1" applyAlignment="1" applyProtection="1">
      <alignment horizontal="center" vertical="center"/>
    </xf>
    <xf numFmtId="0" fontId="25" fillId="0" borderId="87" xfId="0" applyFont="1" applyBorder="1" applyAlignment="1" applyProtection="1">
      <alignment horizontal="center" vertical="center" wrapText="1"/>
    </xf>
    <xf numFmtId="4" fontId="22" fillId="38" borderId="2" xfId="12" applyNumberFormat="1" applyBorder="1" applyAlignment="1" applyProtection="1">
      <alignment horizontal="center" vertical="center" wrapText="1"/>
    </xf>
    <xf numFmtId="0" fontId="36" fillId="8" borderId="0" xfId="11" applyFont="1" applyFill="1" applyBorder="1" applyAlignment="1" applyProtection="1">
      <alignment horizontal="center" vertical="center" wrapText="1"/>
    </xf>
    <xf numFmtId="0" fontId="36" fillId="8" borderId="0" xfId="0" applyFont="1" applyFill="1" applyBorder="1" applyAlignment="1" applyProtection="1">
      <alignment horizontal="center" vertical="center"/>
    </xf>
    <xf numFmtId="4" fontId="36" fillId="8" borderId="0" xfId="0" applyNumberFormat="1" applyFont="1" applyFill="1" applyBorder="1" applyAlignment="1" applyProtection="1">
      <alignment horizontal="center" vertical="center"/>
    </xf>
    <xf numFmtId="0" fontId="36" fillId="8" borderId="0" xfId="0" applyFont="1" applyFill="1" applyBorder="1" applyAlignment="1" applyProtection="1">
      <alignment horizontal="center" vertical="center" wrapText="1"/>
    </xf>
    <xf numFmtId="165" fontId="36" fillId="8" borderId="0" xfId="12" applyNumberFormat="1" applyFont="1" applyFill="1" applyBorder="1" applyAlignment="1" applyProtection="1">
      <alignment horizontal="center" vertical="center" wrapText="1"/>
    </xf>
    <xf numFmtId="0" fontId="36" fillId="8" borderId="0" xfId="12" applyFont="1" applyFill="1" applyBorder="1" applyAlignment="1" applyProtection="1">
      <alignment horizontal="center" vertical="center" wrapText="1"/>
    </xf>
    <xf numFmtId="4" fontId="36" fillId="8" borderId="0" xfId="12" applyNumberFormat="1" applyFont="1" applyFill="1" applyBorder="1" applyAlignment="1" applyProtection="1">
      <alignment horizontal="center" vertical="center" wrapText="1"/>
    </xf>
    <xf numFmtId="4" fontId="36" fillId="8" borderId="0" xfId="6" applyNumberFormat="1" applyFont="1" applyFill="1" applyBorder="1" applyAlignment="1" applyProtection="1">
      <alignment horizontal="center" vertical="center" wrapText="1"/>
    </xf>
    <xf numFmtId="0" fontId="1" fillId="8" borderId="73" xfId="3" applyFont="1" applyFill="1" applyBorder="1" applyAlignment="1" applyProtection="1">
      <alignment horizontal="center" vertical="center" wrapText="1"/>
    </xf>
    <xf numFmtId="0" fontId="28" fillId="0" borderId="0" xfId="0" applyFont="1" applyAlignment="1" applyProtection="1">
      <alignment horizontal="center" vertical="center" wrapText="1"/>
    </xf>
    <xf numFmtId="0" fontId="0" fillId="37" borderId="1" xfId="11" applyFont="1" applyBorder="1" applyAlignment="1" applyProtection="1">
      <alignment horizontal="center" vertical="center" wrapText="1"/>
    </xf>
    <xf numFmtId="4" fontId="28" fillId="5" borderId="2" xfId="0" applyNumberFormat="1" applyFont="1" applyFill="1" applyBorder="1" applyAlignment="1" applyProtection="1">
      <alignment horizontal="center" vertical="center" wrapText="1"/>
    </xf>
    <xf numFmtId="0" fontId="0" fillId="8" borderId="73" xfId="0" applyFont="1" applyFill="1" applyBorder="1" applyAlignment="1" applyProtection="1">
      <alignment horizontal="center" vertical="center" wrapText="1"/>
    </xf>
    <xf numFmtId="0" fontId="25" fillId="8" borderId="73" xfId="0" applyFont="1" applyFill="1" applyBorder="1" applyAlignment="1" applyProtection="1">
      <alignment horizontal="center" vertical="center" wrapText="1"/>
    </xf>
    <xf numFmtId="0" fontId="42" fillId="29" borderId="2" xfId="14" applyFont="1" applyFill="1" applyBorder="1" applyAlignment="1" applyProtection="1">
      <alignment horizontal="center" vertical="center" wrapText="1"/>
    </xf>
    <xf numFmtId="0" fontId="28" fillId="0" borderId="0" xfId="0" applyFont="1" applyAlignment="1" applyProtection="1">
      <alignment vertical="center" wrapText="1"/>
    </xf>
    <xf numFmtId="0" fontId="22" fillId="30" borderId="1" xfId="4"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4" fontId="25" fillId="0" borderId="2"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36" fillId="0" borderId="0" xfId="0" applyFont="1" applyAlignment="1" applyProtection="1">
      <alignment horizontal="center" vertical="center"/>
    </xf>
    <xf numFmtId="0" fontId="1" fillId="0" borderId="0" xfId="0" applyFont="1" applyAlignment="1" applyProtection="1">
      <alignment horizontal="center" vertical="center"/>
    </xf>
    <xf numFmtId="0" fontId="36" fillId="29" borderId="2" xfId="3" applyFont="1" applyBorder="1" applyAlignment="1" applyProtection="1">
      <alignment horizontal="center" vertical="center" wrapText="1"/>
    </xf>
    <xf numFmtId="0" fontId="1" fillId="29" borderId="3" xfId="3" applyFont="1" applyBorder="1" applyAlignment="1" applyProtection="1">
      <alignment horizontal="center" vertical="center" wrapText="1"/>
    </xf>
    <xf numFmtId="2" fontId="25" fillId="5" borderId="2" xfId="0" applyNumberFormat="1" applyFont="1" applyFill="1" applyBorder="1" applyAlignment="1" applyProtection="1">
      <alignment horizontal="center" vertical="center"/>
    </xf>
    <xf numFmtId="0" fontId="25" fillId="0" borderId="3" xfId="0" applyFont="1" applyBorder="1" applyAlignment="1" applyProtection="1">
      <alignment horizontal="center" vertical="center"/>
    </xf>
    <xf numFmtId="4" fontId="0" fillId="5" borderId="2" xfId="0" applyNumberFormat="1" applyFont="1" applyFill="1" applyBorder="1" applyAlignment="1" applyProtection="1">
      <alignment horizontal="center" vertical="center"/>
    </xf>
    <xf numFmtId="2" fontId="36" fillId="32" borderId="2" xfId="6" applyNumberFormat="1" applyBorder="1" applyAlignment="1" applyProtection="1">
      <alignment horizontal="center" vertical="center"/>
    </xf>
    <xf numFmtId="165" fontId="22" fillId="38" borderId="2" xfId="12" applyNumberFormat="1" applyBorder="1" applyAlignment="1" applyProtection="1">
      <alignment horizontal="center" vertical="center"/>
    </xf>
    <xf numFmtId="0" fontId="36" fillId="8" borderId="0" xfId="3" applyFill="1" applyBorder="1" applyAlignment="1" applyProtection="1">
      <alignment horizontal="left" vertical="center" wrapText="1"/>
    </xf>
    <xf numFmtId="0" fontId="2" fillId="0" borderId="0" xfId="0" applyFont="1" applyAlignment="1" applyProtection="1">
      <alignment horizontal="center" vertical="center"/>
    </xf>
    <xf numFmtId="4" fontId="2" fillId="5" borderId="2" xfId="0" applyNumberFormat="1" applyFont="1" applyFill="1" applyBorder="1" applyAlignment="1" applyProtection="1">
      <alignment horizontal="center" vertical="center" wrapText="1"/>
    </xf>
    <xf numFmtId="0" fontId="0" fillId="8" borderId="0" xfId="0" applyFill="1" applyProtection="1"/>
    <xf numFmtId="0" fontId="0" fillId="0" borderId="0" xfId="0" applyProtection="1"/>
    <xf numFmtId="0" fontId="1" fillId="8" borderId="0" xfId="0" applyFont="1" applyFill="1" applyProtection="1"/>
    <xf numFmtId="0" fontId="0" fillId="8" borderId="46" xfId="0" applyFill="1" applyBorder="1" applyProtection="1"/>
    <xf numFmtId="0" fontId="0" fillId="8" borderId="0" xfId="0" applyFill="1" applyBorder="1" applyProtection="1"/>
    <xf numFmtId="0" fontId="0" fillId="8" borderId="47" xfId="0" applyFill="1" applyBorder="1" applyProtection="1"/>
    <xf numFmtId="0" fontId="43" fillId="43" borderId="1" xfId="2" applyFont="1" applyFill="1" applyBorder="1" applyAlignment="1" applyProtection="1">
      <alignment vertical="top" wrapText="1"/>
    </xf>
    <xf numFmtId="0" fontId="49" fillId="44" borderId="1" xfId="2" applyFont="1" applyFill="1" applyBorder="1" applyProtection="1"/>
    <xf numFmtId="0" fontId="36" fillId="29" borderId="54" xfId="3" applyBorder="1" applyAlignment="1" applyProtection="1">
      <alignment vertical="top"/>
    </xf>
    <xf numFmtId="0" fontId="36" fillId="29" borderId="1" xfId="3" applyBorder="1" applyAlignment="1" applyProtection="1">
      <alignment vertical="top" wrapText="1"/>
    </xf>
    <xf numFmtId="0" fontId="36" fillId="29" borderId="1" xfId="3" applyBorder="1" applyAlignment="1" applyProtection="1">
      <alignment vertical="top"/>
    </xf>
    <xf numFmtId="0" fontId="36" fillId="29" borderId="55" xfId="3" applyBorder="1" applyAlignment="1" applyProtection="1">
      <alignment vertical="top" wrapText="1"/>
    </xf>
    <xf numFmtId="0" fontId="36" fillId="29" borderId="54" xfId="3" applyBorder="1" applyAlignment="1" applyProtection="1">
      <alignment vertical="top" wrapText="1"/>
    </xf>
    <xf numFmtId="0" fontId="36" fillId="29" borderId="3" xfId="3" applyBorder="1" applyAlignment="1" applyProtection="1">
      <alignment vertical="top" wrapText="1"/>
    </xf>
    <xf numFmtId="0" fontId="43" fillId="43" borderId="1" xfId="2" applyFont="1" applyFill="1" applyBorder="1" applyAlignment="1" applyProtection="1">
      <alignment wrapText="1"/>
    </xf>
    <xf numFmtId="0" fontId="22" fillId="30" borderId="54" xfId="4" applyBorder="1" applyProtection="1"/>
    <xf numFmtId="3" fontId="22" fillId="38" borderId="1" xfId="12" applyNumberFormat="1" applyBorder="1" applyProtection="1"/>
    <xf numFmtId="0" fontId="22" fillId="38" borderId="1" xfId="12" applyBorder="1" applyProtection="1"/>
    <xf numFmtId="0" fontId="36" fillId="32" borderId="55" xfId="6" applyBorder="1" applyProtection="1"/>
    <xf numFmtId="0" fontId="22" fillId="37" borderId="54" xfId="11" applyBorder="1" applyProtection="1"/>
    <xf numFmtId="0" fontId="0" fillId="38" borderId="1" xfId="12" applyFont="1" applyBorder="1" applyProtection="1"/>
    <xf numFmtId="0" fontId="36" fillId="32" borderId="1" xfId="6" applyBorder="1" applyProtection="1"/>
    <xf numFmtId="0" fontId="1" fillId="8" borderId="0" xfId="0" applyFont="1" applyFill="1" applyAlignment="1" applyProtection="1">
      <alignment wrapText="1"/>
    </xf>
    <xf numFmtId="0" fontId="0" fillId="8" borderId="0" xfId="0" applyFill="1" applyAlignment="1" applyProtection="1">
      <alignment wrapText="1"/>
    </xf>
    <xf numFmtId="0" fontId="36" fillId="8" borderId="46" xfId="3" applyFill="1" applyBorder="1" applyAlignment="1" applyProtection="1">
      <alignment vertical="top" wrapText="1"/>
    </xf>
    <xf numFmtId="0" fontId="36" fillId="8" borderId="0" xfId="3" applyFill="1" applyBorder="1" applyAlignment="1" applyProtection="1">
      <alignment vertical="top" wrapText="1"/>
    </xf>
    <xf numFmtId="0" fontId="36" fillId="8" borderId="47" xfId="3" applyFill="1" applyBorder="1" applyAlignment="1" applyProtection="1">
      <alignment vertical="top" wrapText="1"/>
    </xf>
    <xf numFmtId="0" fontId="22" fillId="37" borderId="57" xfId="11" applyBorder="1" applyProtection="1"/>
    <xf numFmtId="0" fontId="22" fillId="38" borderId="58" xfId="12" applyBorder="1" applyProtection="1"/>
    <xf numFmtId="0" fontId="0" fillId="8" borderId="49" xfId="0" applyFill="1" applyBorder="1" applyProtection="1"/>
    <xf numFmtId="0" fontId="0" fillId="8" borderId="50" xfId="0" applyFill="1" applyBorder="1" applyProtection="1"/>
    <xf numFmtId="0" fontId="43" fillId="41" borderId="0" xfId="0" applyFont="1" applyFill="1" applyBorder="1" applyProtection="1"/>
    <xf numFmtId="0" fontId="46" fillId="42" borderId="8" xfId="10" applyFont="1" applyFill="1" applyBorder="1" applyAlignment="1" applyProtection="1">
      <alignment vertical="top" wrapText="1"/>
    </xf>
    <xf numFmtId="0" fontId="47" fillId="42" borderId="47" xfId="10" applyFont="1" applyFill="1" applyBorder="1" applyAlignment="1" applyProtection="1">
      <alignment vertical="top" wrapText="1"/>
    </xf>
    <xf numFmtId="0" fontId="46" fillId="42" borderId="3" xfId="10" applyFont="1" applyFill="1" applyBorder="1" applyProtection="1"/>
    <xf numFmtId="0" fontId="48" fillId="52" borderId="1" xfId="9" applyFont="1" applyFill="1" applyBorder="1" applyProtection="1"/>
    <xf numFmtId="0" fontId="46" fillId="49" borderId="50" xfId="6" applyFont="1" applyFill="1" applyBorder="1" applyProtection="1"/>
    <xf numFmtId="0" fontId="22" fillId="30" borderId="57" xfId="4" applyBorder="1" applyProtection="1"/>
    <xf numFmtId="0" fontId="36" fillId="32" borderId="59" xfId="6" applyBorder="1" applyProtection="1"/>
    <xf numFmtId="0" fontId="46" fillId="42" borderId="1" xfId="10" applyFont="1" applyFill="1" applyBorder="1" applyProtection="1"/>
    <xf numFmtId="0" fontId="0" fillId="8" borderId="48" xfId="0" applyFill="1" applyBorder="1" applyProtection="1"/>
    <xf numFmtId="0" fontId="46" fillId="42" borderId="58" xfId="10" applyFont="1" applyFill="1" applyBorder="1" applyProtection="1"/>
    <xf numFmtId="0" fontId="46" fillId="49" borderId="58" xfId="6" applyFont="1" applyFill="1" applyBorder="1" applyProtection="1"/>
    <xf numFmtId="0" fontId="43" fillId="41" borderId="49" xfId="0" applyFont="1" applyFill="1" applyBorder="1" applyProtection="1"/>
    <xf numFmtId="0" fontId="1" fillId="0" borderId="0" xfId="0" applyFont="1" applyAlignment="1" applyProtection="1">
      <alignment horizontal="left" vertical="center"/>
    </xf>
    <xf numFmtId="0" fontId="0" fillId="0" borderId="0" xfId="0" applyAlignment="1" applyProtection="1">
      <alignment wrapText="1"/>
    </xf>
    <xf numFmtId="0" fontId="8" fillId="8" borderId="0" xfId="0" applyFont="1" applyFill="1" applyBorder="1" applyAlignment="1" applyProtection="1">
      <alignment vertical="center" wrapText="1"/>
    </xf>
    <xf numFmtId="0" fontId="0" fillId="0" borderId="0" xfId="0" applyAlignment="1" applyProtection="1">
      <alignment horizontal="center" vertical="center" wrapText="1"/>
    </xf>
    <xf numFmtId="0" fontId="64" fillId="0" borderId="0" xfId="0" applyFont="1" applyAlignment="1" applyProtection="1">
      <alignment horizontal="left" vertical="center" wrapText="1"/>
    </xf>
    <xf numFmtId="0" fontId="7" fillId="5" borderId="2" xfId="0" applyFont="1" applyFill="1" applyBorder="1" applyAlignment="1" applyProtection="1">
      <alignment horizontal="left" vertical="center"/>
    </xf>
    <xf numFmtId="0" fontId="7" fillId="5" borderId="4"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9" fillId="29" borderId="74" xfId="3" applyFont="1" applyBorder="1" applyAlignment="1" applyProtection="1">
      <alignment horizontal="left" vertical="center" wrapText="1"/>
    </xf>
    <xf numFmtId="0" fontId="39" fillId="29" borderId="67" xfId="3" applyFont="1" applyBorder="1" applyAlignment="1" applyProtection="1">
      <alignment horizontal="left" vertical="center" wrapText="1"/>
    </xf>
    <xf numFmtId="0" fontId="39" fillId="29" borderId="56" xfId="3" applyFont="1" applyBorder="1" applyAlignment="1" applyProtection="1">
      <alignment horizontal="left" vertical="center" wrapText="1"/>
    </xf>
    <xf numFmtId="0" fontId="39" fillId="29" borderId="75" xfId="3" applyFont="1" applyBorder="1" applyAlignment="1" applyProtection="1">
      <alignment horizontal="left" vertical="center" wrapText="1"/>
    </xf>
    <xf numFmtId="0" fontId="1" fillId="0" borderId="0" xfId="0" applyFont="1" applyProtection="1"/>
    <xf numFmtId="0" fontId="36" fillId="29" borderId="71" xfId="3" applyBorder="1" applyAlignment="1" applyProtection="1">
      <alignment horizontal="center" vertical="center" wrapText="1"/>
    </xf>
    <xf numFmtId="0" fontId="36" fillId="29" borderId="72" xfId="3" applyBorder="1" applyAlignment="1" applyProtection="1">
      <alignment horizontal="center" vertical="center" wrapText="1"/>
    </xf>
    <xf numFmtId="0" fontId="22" fillId="30" borderId="77" xfId="4" applyBorder="1" applyAlignment="1" applyProtection="1">
      <alignment horizontal="center" vertical="center" wrapText="1"/>
    </xf>
    <xf numFmtId="0" fontId="22" fillId="30" borderId="54" xfId="4" applyBorder="1" applyAlignment="1" applyProtection="1">
      <alignment horizontal="center" vertical="center" wrapText="1"/>
    </xf>
    <xf numFmtId="0" fontId="22" fillId="30" borderId="1" xfId="4" applyBorder="1" applyAlignment="1" applyProtection="1">
      <alignment horizontal="center" vertical="center" wrapText="1"/>
    </xf>
    <xf numFmtId="0" fontId="22" fillId="30" borderId="55" xfId="4" applyBorder="1" applyAlignment="1" applyProtection="1">
      <alignment horizontal="center" vertical="center" wrapText="1"/>
    </xf>
    <xf numFmtId="0" fontId="1" fillId="0" borderId="0" xfId="0" applyFont="1" applyAlignment="1" applyProtection="1">
      <alignment wrapText="1"/>
    </xf>
    <xf numFmtId="0" fontId="22" fillId="30" borderId="43" xfId="4" applyBorder="1" applyAlignment="1" applyProtection="1">
      <alignment horizontal="center" vertical="center" wrapText="1"/>
    </xf>
    <xf numFmtId="0" fontId="22" fillId="30" borderId="45" xfId="4" applyBorder="1" applyAlignment="1" applyProtection="1">
      <alignment horizontal="center" vertical="center" wrapText="1"/>
    </xf>
    <xf numFmtId="4" fontId="36" fillId="32" borderId="78" xfId="6" applyNumberFormat="1" applyBorder="1" applyAlignment="1" applyProtection="1">
      <alignment horizontal="center" vertical="center" wrapText="1"/>
    </xf>
    <xf numFmtId="0" fontId="0" fillId="0" borderId="79" xfId="0" applyBorder="1" applyAlignment="1" applyProtection="1">
      <alignment horizontal="center" vertical="center" wrapText="1"/>
    </xf>
    <xf numFmtId="0" fontId="0" fillId="0" borderId="70" xfId="0" applyBorder="1" applyAlignment="1" applyProtection="1">
      <alignment horizontal="center" vertical="center" wrapText="1"/>
    </xf>
    <xf numFmtId="4" fontId="36" fillId="32" borderId="68" xfId="6" applyNumberFormat="1" applyBorder="1" applyAlignment="1" applyProtection="1">
      <alignment horizontal="center" vertical="center" wrapText="1"/>
    </xf>
    <xf numFmtId="0" fontId="0" fillId="0" borderId="43" xfId="0" applyBorder="1" applyAlignment="1" applyProtection="1">
      <alignment wrapText="1"/>
    </xf>
    <xf numFmtId="0" fontId="0" fillId="0" borderId="44" xfId="0" applyBorder="1" applyAlignment="1" applyProtection="1">
      <alignment wrapText="1"/>
    </xf>
    <xf numFmtId="0" fontId="0" fillId="0" borderId="45" xfId="0" applyBorder="1" applyAlignment="1" applyProtection="1">
      <alignment wrapText="1"/>
    </xf>
    <xf numFmtId="0" fontId="36" fillId="29" borderId="76" xfId="3" applyBorder="1" applyAlignment="1" applyProtection="1">
      <alignment horizontal="center" wrapText="1"/>
    </xf>
    <xf numFmtId="0" fontId="36" fillId="29" borderId="4" xfId="3" applyBorder="1" applyAlignment="1" applyProtection="1">
      <alignment horizontal="center" wrapText="1"/>
    </xf>
    <xf numFmtId="0" fontId="36" fillId="29" borderId="77" xfId="3" applyBorder="1" applyAlignment="1" applyProtection="1">
      <alignment horizontal="center" wrapText="1"/>
    </xf>
    <xf numFmtId="0" fontId="36" fillId="29" borderId="76" xfId="3" applyBorder="1" applyAlignment="1" applyProtection="1">
      <alignment horizontal="center" vertical="center" wrapText="1"/>
    </xf>
    <xf numFmtId="0" fontId="36" fillId="29" borderId="77" xfId="3" applyBorder="1" applyAlignment="1" applyProtection="1">
      <alignment horizontal="center" vertical="center" wrapText="1"/>
    </xf>
    <xf numFmtId="0" fontId="0" fillId="0" borderId="0" xfId="0" applyBorder="1" applyAlignment="1" applyProtection="1">
      <alignment horizontal="center" vertical="center" wrapText="1"/>
    </xf>
    <xf numFmtId="0" fontId="22" fillId="30" borderId="80" xfId="4" applyBorder="1" applyAlignment="1" applyProtection="1">
      <alignment horizontal="center" vertical="center" wrapText="1"/>
    </xf>
    <xf numFmtId="0" fontId="22" fillId="30" borderId="2" xfId="4" applyBorder="1" applyAlignment="1" applyProtection="1">
      <alignment horizontal="center" vertical="center" wrapText="1"/>
    </xf>
    <xf numFmtId="0" fontId="68" fillId="30" borderId="2" xfId="14" applyFont="1" applyFill="1" applyBorder="1" applyAlignment="1" applyProtection="1">
      <alignment horizontal="center" vertical="center" wrapText="1"/>
    </xf>
    <xf numFmtId="0" fontId="68" fillId="30" borderId="3" xfId="14" applyFont="1" applyFill="1" applyBorder="1" applyAlignment="1" applyProtection="1">
      <alignment horizontal="center" vertical="center" wrapText="1"/>
    </xf>
    <xf numFmtId="0" fontId="0" fillId="0" borderId="0" xfId="0" applyBorder="1" applyProtection="1"/>
    <xf numFmtId="0" fontId="22" fillId="30" borderId="81" xfId="4"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77" xfId="0" applyBorder="1" applyAlignment="1" applyProtection="1">
      <alignment horizontal="center" vertical="center" wrapText="1"/>
    </xf>
    <xf numFmtId="2" fontId="0" fillId="11" borderId="76" xfId="0" applyNumberFormat="1"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Border="1" applyAlignment="1" applyProtection="1">
      <alignment wrapText="1"/>
    </xf>
    <xf numFmtId="0" fontId="22" fillId="33" borderId="54" xfId="7" applyBorder="1" applyAlignment="1" applyProtection="1">
      <alignment horizontal="center" vertical="center" wrapText="1"/>
    </xf>
    <xf numFmtId="4" fontId="0" fillId="5" borderId="2" xfId="0" applyNumberFormat="1" applyFill="1" applyBorder="1" applyAlignment="1" applyProtection="1">
      <alignment horizontal="center" vertical="center" wrapText="1"/>
    </xf>
    <xf numFmtId="4" fontId="36" fillId="32" borderId="76" xfId="6" applyNumberFormat="1" applyBorder="1" applyAlignment="1" applyProtection="1">
      <alignment horizontal="center" vertical="center" wrapText="1"/>
    </xf>
    <xf numFmtId="0" fontId="0" fillId="0" borderId="0" xfId="0" applyBorder="1" applyAlignment="1" applyProtection="1">
      <alignment horizontal="center" vertical="center"/>
    </xf>
    <xf numFmtId="0" fontId="0" fillId="0" borderId="47" xfId="0" applyBorder="1" applyAlignment="1" applyProtection="1">
      <alignment horizontal="center" vertical="center"/>
    </xf>
    <xf numFmtId="0" fontId="2" fillId="0" borderId="0" xfId="0" applyFont="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50" xfId="0" applyBorder="1" applyAlignment="1" applyProtection="1">
      <alignment horizontal="center" vertical="center" wrapText="1"/>
    </xf>
    <xf numFmtId="0" fontId="22" fillId="30" borderId="4" xfId="4" applyBorder="1" applyAlignment="1" applyProtection="1">
      <alignment horizontal="center" vertical="center" wrapText="1"/>
    </xf>
    <xf numFmtId="4" fontId="36" fillId="32" borderId="4" xfId="6" applyNumberFormat="1" applyBorder="1" applyAlignment="1" applyProtection="1">
      <alignment horizontal="center" vertical="center" wrapText="1"/>
    </xf>
    <xf numFmtId="0" fontId="0" fillId="0" borderId="4" xfId="0" applyFill="1" applyBorder="1" applyAlignment="1" applyProtection="1">
      <alignment horizontal="center" vertical="center" wrapText="1"/>
    </xf>
    <xf numFmtId="4" fontId="0" fillId="11" borderId="76" xfId="0" applyNumberFormat="1" applyFill="1" applyBorder="1" applyAlignment="1" applyProtection="1">
      <alignment horizontal="center" vertical="center" wrapText="1"/>
    </xf>
    <xf numFmtId="0" fontId="0" fillId="0" borderId="47" xfId="0" applyBorder="1" applyAlignment="1" applyProtection="1">
      <alignment wrapText="1"/>
    </xf>
    <xf numFmtId="4" fontId="0" fillId="5" borderId="4" xfId="0" applyNumberFormat="1" applyFill="1" applyBorder="1" applyAlignment="1" applyProtection="1">
      <alignment horizontal="center" vertical="center" wrapText="1"/>
    </xf>
    <xf numFmtId="0" fontId="22" fillId="30" borderId="43" xfId="4" applyBorder="1" applyAlignment="1" applyProtection="1">
      <alignment horizontal="left" vertical="center" wrapText="1"/>
    </xf>
    <xf numFmtId="0" fontId="22" fillId="30" borderId="44" xfId="4" applyBorder="1" applyAlignment="1" applyProtection="1">
      <alignment horizontal="left" vertical="center" wrapText="1"/>
    </xf>
    <xf numFmtId="0" fontId="22" fillId="30" borderId="45" xfId="4"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5" xfId="0" applyBorder="1" applyAlignment="1" applyProtection="1">
      <alignment horizontal="center" vertical="center" wrapText="1"/>
    </xf>
    <xf numFmtId="0" fontId="2" fillId="0" borderId="0" xfId="0" applyFont="1" applyAlignment="1" applyProtection="1">
      <alignment wrapText="1"/>
    </xf>
    <xf numFmtId="0" fontId="22" fillId="30" borderId="54" xfId="4" applyBorder="1" applyAlignment="1" applyProtection="1">
      <alignment horizontal="center" vertical="center" wrapText="1"/>
    </xf>
    <xf numFmtId="0" fontId="22" fillId="30" borderId="83" xfId="4" applyBorder="1" applyAlignment="1" applyProtection="1">
      <alignment horizontal="center" vertical="center" wrapText="1"/>
    </xf>
    <xf numFmtId="0" fontId="22" fillId="30" borderId="5" xfId="4" applyBorder="1" applyAlignment="1" applyProtection="1">
      <alignment horizontal="center" vertical="center" wrapText="1"/>
    </xf>
    <xf numFmtId="0" fontId="22" fillId="30" borderId="8" xfId="4" applyBorder="1" applyAlignment="1" applyProtection="1">
      <alignment horizontal="center" vertical="center" wrapText="1"/>
    </xf>
    <xf numFmtId="0" fontId="22" fillId="30" borderId="82" xfId="4" applyBorder="1" applyAlignment="1" applyProtection="1">
      <alignment horizontal="center" vertical="center" wrapText="1"/>
    </xf>
    <xf numFmtId="4" fontId="0" fillId="8" borderId="2" xfId="0" applyNumberFormat="1" applyFill="1" applyBorder="1" applyAlignment="1" applyProtection="1">
      <alignment horizontal="center" vertical="center" wrapText="1"/>
    </xf>
    <xf numFmtId="0" fontId="0" fillId="0" borderId="47" xfId="0" applyBorder="1" applyProtection="1"/>
    <xf numFmtId="0" fontId="0" fillId="0" borderId="46" xfId="0" applyBorder="1" applyProtection="1"/>
    <xf numFmtId="0" fontId="22" fillId="37" borderId="54" xfId="1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164" fontId="0" fillId="0" borderId="0" xfId="0" applyNumberFormat="1" applyFill="1" applyBorder="1" applyAlignment="1" applyProtection="1">
      <alignment horizontal="center" vertical="center" wrapText="1"/>
    </xf>
    <xf numFmtId="0" fontId="0" fillId="0" borderId="0" xfId="0" applyAlignment="1" applyProtection="1">
      <alignment horizontal="center" vertical="center"/>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11" fillId="30" borderId="43" xfId="4" applyFont="1" applyBorder="1" applyAlignment="1" applyProtection="1">
      <alignment horizontal="left" vertical="center" wrapText="1"/>
    </xf>
    <xf numFmtId="0" fontId="11" fillId="30" borderId="44" xfId="4" applyFont="1" applyBorder="1" applyAlignment="1" applyProtection="1">
      <alignment horizontal="left" vertical="center" wrapText="1"/>
    </xf>
    <xf numFmtId="0" fontId="11" fillId="30" borderId="45" xfId="4" applyFont="1" applyBorder="1" applyAlignment="1" applyProtection="1">
      <alignment horizontal="left"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4" fontId="0" fillId="0" borderId="4" xfId="0" applyNumberFormat="1" applyFill="1" applyBorder="1" applyAlignment="1" applyProtection="1">
      <alignment horizontal="center" vertical="center" wrapText="1"/>
    </xf>
    <xf numFmtId="0" fontId="22" fillId="30" borderId="81" xfId="4" applyBorder="1" applyAlignment="1" applyProtection="1">
      <alignment horizontal="center" vertical="center" wrapText="1"/>
    </xf>
    <xf numFmtId="0" fontId="0" fillId="0" borderId="46" xfId="0" applyBorder="1" applyAlignment="1" applyProtection="1">
      <alignment wrapText="1"/>
    </xf>
    <xf numFmtId="0" fontId="22" fillId="30" borderId="1" xfId="4" applyBorder="1" applyAlignment="1" applyProtection="1">
      <alignment horizontal="center" wrapText="1"/>
    </xf>
    <xf numFmtId="0" fontId="22" fillId="30" borderId="7" xfId="4" applyBorder="1" applyAlignment="1" applyProtection="1">
      <alignment horizontal="center" vertical="center" wrapText="1"/>
    </xf>
    <xf numFmtId="0" fontId="22" fillId="30" borderId="84" xfId="4" applyBorder="1" applyAlignment="1" applyProtection="1">
      <alignment horizontal="center" vertical="center" wrapText="1"/>
    </xf>
    <xf numFmtId="0" fontId="22" fillId="30" borderId="85" xfId="4" applyBorder="1" applyAlignment="1" applyProtection="1">
      <alignment horizontal="center" vertical="center" wrapText="1"/>
    </xf>
    <xf numFmtId="0" fontId="22" fillId="30" borderId="21" xfId="4" applyBorder="1" applyAlignment="1" applyProtection="1">
      <alignment horizontal="center" vertical="center" wrapText="1"/>
    </xf>
    <xf numFmtId="0" fontId="36" fillId="29" borderId="65" xfId="3" applyBorder="1" applyAlignment="1" applyProtection="1">
      <alignment horizontal="center" vertical="center" wrapText="1"/>
    </xf>
    <xf numFmtId="0" fontId="0" fillId="0" borderId="48" xfId="0" applyBorder="1" applyProtection="1"/>
    <xf numFmtId="0" fontId="0" fillId="0" borderId="49" xfId="0" applyBorder="1" applyProtection="1"/>
    <xf numFmtId="2" fontId="0" fillId="0" borderId="70" xfId="0" applyNumberFormat="1" applyFill="1" applyBorder="1" applyAlignment="1" applyProtection="1">
      <alignment horizontal="center" vertical="center" wrapText="1"/>
    </xf>
    <xf numFmtId="2" fontId="36" fillId="32" borderId="68" xfId="6" applyNumberFormat="1" applyBorder="1" applyAlignment="1" applyProtection="1">
      <alignment horizontal="center" vertical="center" wrapText="1"/>
    </xf>
    <xf numFmtId="0" fontId="0" fillId="0" borderId="0" xfId="0" applyAlignment="1" applyProtection="1">
      <alignment horizontal="left" vertical="center" wrapText="1"/>
    </xf>
    <xf numFmtId="0" fontId="36" fillId="29" borderId="22" xfId="3" applyBorder="1" applyAlignment="1" applyProtection="1">
      <alignment horizontal="left" vertical="center" wrapText="1"/>
    </xf>
    <xf numFmtId="0" fontId="36" fillId="29" borderId="23" xfId="3" applyBorder="1" applyAlignment="1" applyProtection="1">
      <alignment horizontal="left" vertical="center" wrapText="1"/>
    </xf>
    <xf numFmtId="0" fontId="36" fillId="29" borderId="25" xfId="3" applyBorder="1" applyAlignment="1" applyProtection="1">
      <alignment horizontal="left" vertical="center" wrapText="1"/>
    </xf>
    <xf numFmtId="0" fontId="22" fillId="30" borderId="71" xfId="4" applyBorder="1" applyAlignment="1" applyProtection="1">
      <alignment horizontal="center" vertical="center" wrapText="1"/>
    </xf>
    <xf numFmtId="0" fontId="22" fillId="30" borderId="72" xfId="4" applyBorder="1" applyAlignment="1" applyProtection="1">
      <alignment horizontal="center" vertical="center" wrapText="1"/>
    </xf>
    <xf numFmtId="2" fontId="0" fillId="11" borderId="2" xfId="0" applyNumberFormat="1" applyFill="1" applyBorder="1" applyAlignment="1" applyProtection="1">
      <alignment horizontal="center" vertical="center" wrapText="1"/>
    </xf>
    <xf numFmtId="165" fontId="2" fillId="5" borderId="2" xfId="0" applyNumberFormat="1" applyFont="1" applyFill="1" applyBorder="1" applyAlignment="1" applyProtection="1">
      <alignment horizontal="center" vertical="center" wrapText="1"/>
    </xf>
    <xf numFmtId="165" fontId="0" fillId="5" borderId="2" xfId="0" applyNumberFormat="1" applyFill="1" applyBorder="1" applyAlignment="1" applyProtection="1">
      <alignment horizontal="center" vertical="center" wrapText="1"/>
    </xf>
    <xf numFmtId="4" fontId="0" fillId="11" borderId="2" xfId="0" applyNumberFormat="1" applyFill="1" applyBorder="1" applyAlignment="1" applyProtection="1">
      <alignment horizontal="center" vertical="center" wrapText="1"/>
    </xf>
    <xf numFmtId="0" fontId="22" fillId="30" borderId="46" xfId="4" applyBorder="1" applyAlignment="1" applyProtection="1">
      <alignment horizontal="left" vertical="center" wrapText="1"/>
    </xf>
    <xf numFmtId="0" fontId="22" fillId="30" borderId="0" xfId="4" applyBorder="1" applyAlignment="1" applyProtection="1">
      <alignment horizontal="left" vertical="center" wrapText="1"/>
    </xf>
    <xf numFmtId="0" fontId="22" fillId="30" borderId="47" xfId="4" applyBorder="1" applyAlignment="1" applyProtection="1">
      <alignment horizontal="left" vertical="center" wrapText="1"/>
    </xf>
    <xf numFmtId="0" fontId="36" fillId="29" borderId="22" xfId="3" applyBorder="1" applyAlignment="1" applyProtection="1">
      <alignment horizontal="center" wrapText="1"/>
    </xf>
    <xf numFmtId="0" fontId="36" fillId="29" borderId="23" xfId="3" applyBorder="1" applyAlignment="1" applyProtection="1">
      <alignment horizontal="center" wrapText="1"/>
    </xf>
    <xf numFmtId="0" fontId="36" fillId="29" borderId="25" xfId="3" applyBorder="1" applyAlignment="1" applyProtection="1">
      <alignment horizontal="center" wrapText="1"/>
    </xf>
    <xf numFmtId="4" fontId="0" fillId="0" borderId="46" xfId="0" applyNumberFormat="1" applyFill="1" applyBorder="1" applyAlignment="1" applyProtection="1">
      <alignment horizontal="center" vertical="center" wrapText="1"/>
    </xf>
    <xf numFmtId="4" fontId="0" fillId="0" borderId="0" xfId="0" applyNumberFormat="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8" xfId="0" applyBorder="1" applyAlignment="1" applyProtection="1">
      <alignment wrapText="1"/>
    </xf>
    <xf numFmtId="0" fontId="0" fillId="0" borderId="49" xfId="0" applyBorder="1" applyAlignment="1" applyProtection="1">
      <alignment wrapText="1"/>
    </xf>
    <xf numFmtId="0" fontId="0" fillId="0" borderId="50" xfId="0" applyBorder="1" applyAlignment="1" applyProtection="1">
      <alignment wrapText="1"/>
    </xf>
    <xf numFmtId="0" fontId="22" fillId="30" borderId="2" xfId="4" applyBorder="1" applyAlignment="1" applyProtection="1">
      <alignment horizontal="center" wrapText="1"/>
    </xf>
    <xf numFmtId="0" fontId="22" fillId="30" borderId="3" xfId="4" applyBorder="1" applyAlignment="1" applyProtection="1">
      <alignment horizontal="center" wrapText="1"/>
    </xf>
    <xf numFmtId="0" fontId="36" fillId="29" borderId="43" xfId="3" applyBorder="1" applyAlignment="1" applyProtection="1">
      <alignment horizontal="center" vertical="center" wrapText="1"/>
    </xf>
    <xf numFmtId="0" fontId="36" fillId="29" borderId="45" xfId="3" applyBorder="1" applyAlignment="1" applyProtection="1">
      <alignment horizontal="center" vertical="center" wrapText="1"/>
    </xf>
    <xf numFmtId="0" fontId="22" fillId="30" borderId="46" xfId="4" applyBorder="1" applyAlignment="1" applyProtection="1">
      <alignment horizontal="center" vertical="center" wrapText="1"/>
    </xf>
    <xf numFmtId="0" fontId="22" fillId="30" borderId="47" xfId="4" applyBorder="1" applyAlignment="1" applyProtection="1">
      <alignment horizontal="center" vertical="center" wrapText="1"/>
    </xf>
    <xf numFmtId="4" fontId="36" fillId="32" borderId="48" xfId="6" applyNumberFormat="1" applyBorder="1" applyAlignment="1" applyProtection="1">
      <alignment horizontal="center" vertical="center" wrapText="1"/>
    </xf>
    <xf numFmtId="0" fontId="36" fillId="29" borderId="71" xfId="3" applyFont="1" applyBorder="1" applyAlignment="1" applyProtection="1">
      <alignment horizontal="center" vertical="center" wrapText="1"/>
    </xf>
    <xf numFmtId="0" fontId="36" fillId="29" borderId="72" xfId="3" applyFont="1" applyBorder="1" applyAlignment="1" applyProtection="1">
      <alignment horizontal="center" vertical="center" wrapText="1"/>
    </xf>
    <xf numFmtId="0" fontId="36" fillId="29" borderId="65" xfId="3" applyFont="1" applyBorder="1" applyAlignment="1" applyProtection="1">
      <alignment horizontal="center" vertical="center" wrapText="1"/>
    </xf>
    <xf numFmtId="0" fontId="22" fillId="30" borderId="22" xfId="4" applyBorder="1" applyAlignment="1" applyProtection="1">
      <alignment horizontal="left" vertical="center" wrapText="1"/>
    </xf>
    <xf numFmtId="0" fontId="22" fillId="30" borderId="23" xfId="4" applyBorder="1" applyAlignment="1" applyProtection="1">
      <alignment horizontal="left" vertical="center" wrapText="1"/>
    </xf>
    <xf numFmtId="0" fontId="22" fillId="30" borderId="25" xfId="4" applyBorder="1" applyAlignment="1" applyProtection="1">
      <alignment horizontal="left" vertical="center" wrapText="1"/>
    </xf>
    <xf numFmtId="0" fontId="22" fillId="30" borderId="64" xfId="4" applyBorder="1" applyAlignment="1" applyProtection="1">
      <alignment horizontal="center" vertical="center" wrapText="1"/>
    </xf>
    <xf numFmtId="0" fontId="22" fillId="30" borderId="66" xfId="4" applyBorder="1" applyAlignment="1" applyProtection="1">
      <alignment horizontal="center" vertical="center" wrapText="1"/>
    </xf>
    <xf numFmtId="0" fontId="22" fillId="30" borderId="65" xfId="4" applyBorder="1" applyAlignment="1" applyProtection="1">
      <alignment horizontal="center" vertical="center" wrapText="1"/>
    </xf>
    <xf numFmtId="0" fontId="36" fillId="29" borderId="43" xfId="3" applyFont="1" applyBorder="1" applyAlignment="1" applyProtection="1">
      <alignment horizontal="center" vertical="center" wrapText="1"/>
    </xf>
    <xf numFmtId="0" fontId="36" fillId="29" borderId="45" xfId="3" applyFont="1" applyBorder="1" applyAlignment="1" applyProtection="1">
      <alignment horizontal="center" vertical="center" wrapText="1"/>
    </xf>
    <xf numFmtId="0" fontId="7" fillId="5" borderId="1" xfId="0" applyFont="1" applyFill="1" applyBorder="1" applyAlignment="1" applyProtection="1">
      <alignment horizontal="left" vertical="center"/>
    </xf>
    <xf numFmtId="0" fontId="23" fillId="0" borderId="0" xfId="0" applyFont="1"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10" fillId="0" borderId="0" xfId="0" applyFont="1" applyAlignment="1" applyProtection="1">
      <alignment vertical="center"/>
    </xf>
    <xf numFmtId="0" fontId="8" fillId="13" borderId="1" xfId="0" applyFont="1" applyFill="1" applyBorder="1" applyAlignment="1" applyProtection="1">
      <alignment horizontal="left" vertical="center" wrapText="1"/>
    </xf>
    <xf numFmtId="0" fontId="0" fillId="0" borderId="1" xfId="0" applyBorder="1" applyAlignment="1" applyProtection="1">
      <alignment vertical="center"/>
    </xf>
    <xf numFmtId="0" fontId="22" fillId="34" borderId="1" xfId="8" applyBorder="1" applyAlignment="1" applyProtection="1">
      <alignment vertical="center"/>
    </xf>
    <xf numFmtId="0" fontId="8"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2" fillId="10" borderId="9" xfId="0" applyFont="1" applyFill="1" applyBorder="1" applyAlignment="1" applyProtection="1">
      <alignment horizontal="left" vertical="center"/>
    </xf>
    <xf numFmtId="0" fontId="12" fillId="10" borderId="10" xfId="0" applyFont="1" applyFill="1" applyBorder="1" applyAlignment="1" applyProtection="1">
      <alignment horizontal="left" vertical="center"/>
    </xf>
    <xf numFmtId="0" fontId="12" fillId="10" borderId="11" xfId="0" applyFont="1" applyFill="1" applyBorder="1" applyAlignment="1" applyProtection="1">
      <alignment horizontal="left" vertical="center"/>
    </xf>
    <xf numFmtId="0" fontId="0" fillId="14" borderId="2" xfId="0" applyFill="1" applyBorder="1" applyAlignment="1" applyProtection="1">
      <alignment horizontal="left" vertical="center"/>
    </xf>
    <xf numFmtId="0" fontId="0" fillId="14" borderId="3" xfId="0" applyFill="1" applyBorder="1" applyAlignment="1" applyProtection="1">
      <alignment horizontal="left" vertical="center"/>
    </xf>
    <xf numFmtId="0" fontId="0" fillId="0" borderId="0" xfId="0" applyFill="1" applyAlignment="1" applyProtection="1">
      <alignment vertical="center"/>
    </xf>
    <xf numFmtId="3" fontId="0" fillId="0" borderId="1" xfId="0" applyNumberFormat="1" applyFill="1" applyBorder="1" applyAlignment="1" applyProtection="1">
      <alignment horizontal="center" vertical="center"/>
    </xf>
    <xf numFmtId="3" fontId="0" fillId="0" borderId="0" xfId="0" applyNumberFormat="1" applyFill="1" applyAlignment="1" applyProtection="1">
      <alignment horizontal="center" vertical="center"/>
    </xf>
    <xf numFmtId="0" fontId="65" fillId="0" borderId="0" xfId="0" applyFont="1" applyAlignment="1" applyProtection="1">
      <alignment vertical="center"/>
    </xf>
    <xf numFmtId="0" fontId="0" fillId="14" borderId="1" xfId="0" applyFill="1" applyBorder="1" applyAlignment="1" applyProtection="1">
      <alignment horizontal="left" vertical="center" wrapText="1"/>
    </xf>
    <xf numFmtId="0" fontId="0" fillId="14" borderId="1" xfId="0"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0" xfId="0" applyNumberFormat="1" applyAlignment="1" applyProtection="1">
      <alignment horizontal="center" vertical="center"/>
    </xf>
    <xf numFmtId="3" fontId="11" fillId="0" borderId="0" xfId="0" applyNumberFormat="1" applyFont="1" applyAlignment="1" applyProtection="1">
      <alignment vertical="center"/>
    </xf>
    <xf numFmtId="3" fontId="2" fillId="5" borderId="1" xfId="0" applyNumberFormat="1" applyFont="1" applyFill="1" applyBorder="1" applyAlignment="1" applyProtection="1">
      <alignment horizontal="center" vertical="center"/>
    </xf>
    <xf numFmtId="0" fontId="29" fillId="0" borderId="0" xfId="0" applyFont="1" applyAlignment="1" applyProtection="1">
      <alignment vertical="center"/>
    </xf>
    <xf numFmtId="0" fontId="42" fillId="29" borderId="43" xfId="14" applyFont="1" applyFill="1" applyBorder="1" applyAlignment="1" applyProtection="1">
      <alignment horizontal="left" vertical="top" wrapText="1"/>
    </xf>
    <xf numFmtId="0" fontId="42" fillId="29" borderId="44" xfId="14" applyFont="1" applyFill="1" applyBorder="1" applyAlignment="1" applyProtection="1">
      <alignment horizontal="left" vertical="top" wrapText="1"/>
    </xf>
    <xf numFmtId="0" fontId="42" fillId="29" borderId="45" xfId="14" applyFont="1" applyFill="1" applyBorder="1" applyAlignment="1" applyProtection="1">
      <alignment horizontal="left" vertical="top" wrapText="1"/>
    </xf>
    <xf numFmtId="4" fontId="0" fillId="0" borderId="0" xfId="0" applyNumberFormat="1" applyAlignment="1" applyProtection="1">
      <alignment vertical="center"/>
    </xf>
    <xf numFmtId="0" fontId="42" fillId="29" borderId="46" xfId="14" applyFont="1" applyFill="1" applyBorder="1" applyAlignment="1" applyProtection="1">
      <alignment horizontal="left" vertical="top" wrapText="1"/>
    </xf>
    <xf numFmtId="0" fontId="42" fillId="29" borderId="0" xfId="14" applyFont="1" applyFill="1" applyBorder="1" applyAlignment="1" applyProtection="1">
      <alignment horizontal="left" vertical="top" wrapText="1"/>
    </xf>
    <xf numFmtId="0" fontId="42" fillId="29" borderId="47" xfId="14" applyFont="1" applyFill="1" applyBorder="1" applyAlignment="1" applyProtection="1">
      <alignment horizontal="left" vertical="top" wrapText="1"/>
    </xf>
    <xf numFmtId="0" fontId="42" fillId="29" borderId="48" xfId="14" applyFont="1" applyFill="1" applyBorder="1" applyAlignment="1" applyProtection="1">
      <alignment horizontal="left" vertical="top" wrapText="1"/>
    </xf>
    <xf numFmtId="0" fontId="42" fillId="29" borderId="49" xfId="14" applyFont="1" applyFill="1" applyBorder="1" applyAlignment="1" applyProtection="1">
      <alignment horizontal="left" vertical="top" wrapText="1"/>
    </xf>
    <xf numFmtId="0" fontId="42" fillId="29" borderId="50" xfId="14" applyFont="1" applyFill="1" applyBorder="1" applyAlignment="1" applyProtection="1">
      <alignment horizontal="left" vertical="top" wrapText="1"/>
    </xf>
    <xf numFmtId="4" fontId="0" fillId="0" borderId="0" xfId="0" applyNumberFormat="1" applyAlignment="1" applyProtection="1">
      <alignment horizontal="center" vertical="center"/>
    </xf>
    <xf numFmtId="0" fontId="0" fillId="14" borderId="1" xfId="0" applyFill="1" applyBorder="1" applyAlignment="1" applyProtection="1">
      <alignment horizontal="left" vertical="center"/>
    </xf>
    <xf numFmtId="4" fontId="0" fillId="0" borderId="1" xfId="0" applyNumberFormat="1" applyBorder="1" applyAlignment="1" applyProtection="1">
      <alignment horizontal="center" vertical="center"/>
    </xf>
    <xf numFmtId="4" fontId="2" fillId="0" borderId="1" xfId="0" applyNumberFormat="1" applyFont="1" applyBorder="1" applyAlignment="1" applyProtection="1">
      <alignment horizontal="center" vertical="center"/>
    </xf>
    <xf numFmtId="0" fontId="0" fillId="12" borderId="2" xfId="0" applyFill="1" applyBorder="1" applyAlignment="1" applyProtection="1">
      <alignment horizontal="left" vertical="center"/>
    </xf>
    <xf numFmtId="0" fontId="0" fillId="12" borderId="3" xfId="0" applyFill="1" applyBorder="1" applyAlignment="1" applyProtection="1">
      <alignment horizontal="left" vertical="center"/>
    </xf>
    <xf numFmtId="0" fontId="0" fillId="12" borderId="1" xfId="0" applyFill="1" applyBorder="1" applyAlignment="1" applyProtection="1">
      <alignment horizontal="left" vertical="center" wrapText="1"/>
    </xf>
    <xf numFmtId="0" fontId="0" fillId="12" borderId="1" xfId="0" applyFill="1" applyBorder="1" applyAlignment="1" applyProtection="1">
      <alignment horizontal="left" vertical="center"/>
    </xf>
    <xf numFmtId="9" fontId="0" fillId="0" borderId="0" xfId="1" applyFont="1" applyAlignment="1" applyProtection="1">
      <alignment vertical="center"/>
    </xf>
    <xf numFmtId="0" fontId="0" fillId="12" borderId="1" xfId="0" applyFill="1" applyBorder="1" applyAlignment="1" applyProtection="1">
      <alignment horizontal="left" vertical="center" wrapText="1"/>
    </xf>
    <xf numFmtId="3" fontId="0" fillId="11" borderId="1" xfId="0" applyNumberFormat="1" applyFill="1" applyBorder="1" applyAlignment="1" applyProtection="1">
      <alignment horizontal="center" vertical="center"/>
    </xf>
    <xf numFmtId="3" fontId="15" fillId="0" borderId="1" xfId="0" applyNumberFormat="1" applyFont="1" applyBorder="1" applyAlignment="1" applyProtection="1">
      <alignment horizontal="center" vertical="center"/>
    </xf>
    <xf numFmtId="3" fontId="14" fillId="0" borderId="0" xfId="0" applyNumberFormat="1" applyFont="1" applyAlignment="1" applyProtection="1">
      <alignment horizontal="center" vertical="center"/>
    </xf>
    <xf numFmtId="4" fontId="15" fillId="0" borderId="1" xfId="0" applyNumberFormat="1" applyFont="1" applyBorder="1" applyAlignment="1" applyProtection="1">
      <alignment horizontal="center" vertical="center"/>
    </xf>
    <xf numFmtId="4" fontId="14" fillId="0" borderId="0" xfId="0" applyNumberFormat="1" applyFont="1" applyAlignment="1" applyProtection="1">
      <alignment horizontal="center" vertical="center"/>
    </xf>
    <xf numFmtId="0" fontId="22" fillId="38" borderId="2" xfId="12" applyBorder="1" applyAlignment="1" applyProtection="1">
      <alignment horizontal="left" vertical="center"/>
    </xf>
    <xf numFmtId="0" fontId="22" fillId="38" borderId="3" xfId="12" applyBorder="1" applyAlignment="1" applyProtection="1">
      <alignment horizontal="left" vertical="center"/>
    </xf>
    <xf numFmtId="0" fontId="22" fillId="38" borderId="12" xfId="12" applyBorder="1" applyAlignment="1" applyProtection="1">
      <alignment horizontal="left" vertical="center" wrapText="1"/>
    </xf>
    <xf numFmtId="0" fontId="22" fillId="38" borderId="1" xfId="12" applyBorder="1" applyAlignment="1" applyProtection="1">
      <alignment horizontal="left" vertical="center"/>
    </xf>
    <xf numFmtId="0" fontId="22" fillId="38" borderId="6" xfId="12" applyBorder="1" applyAlignment="1" applyProtection="1">
      <alignment horizontal="left" vertical="center" wrapText="1"/>
    </xf>
    <xf numFmtId="0" fontId="22" fillId="38" borderId="8" xfId="12" applyBorder="1" applyAlignment="1" applyProtection="1">
      <alignment horizontal="left" vertical="center" wrapText="1"/>
    </xf>
    <xf numFmtId="0" fontId="22" fillId="38" borderId="1" xfId="12" applyBorder="1" applyAlignment="1" applyProtection="1">
      <alignment horizontal="left" vertical="center" wrapText="1"/>
    </xf>
    <xf numFmtId="4" fontId="0" fillId="11" borderId="1" xfId="0" applyNumberFormat="1" applyFill="1" applyBorder="1" applyAlignment="1" applyProtection="1">
      <alignment horizontal="center" vertical="center"/>
    </xf>
    <xf numFmtId="3" fontId="4" fillId="0" borderId="1" xfId="0" applyNumberFormat="1" applyFont="1" applyBorder="1" applyAlignment="1" applyProtection="1">
      <alignment horizontal="center" vertical="center"/>
    </xf>
    <xf numFmtId="3" fontId="18" fillId="0" borderId="1" xfId="0" applyNumberFormat="1" applyFont="1" applyFill="1" applyBorder="1" applyAlignment="1" applyProtection="1">
      <alignment horizontal="center" vertical="center"/>
    </xf>
    <xf numFmtId="0" fontId="30" fillId="0" borderId="0" xfId="0" applyFont="1" applyAlignment="1" applyProtection="1">
      <alignment vertical="center"/>
    </xf>
    <xf numFmtId="0" fontId="67" fillId="40" borderId="43" xfId="0" applyFont="1" applyFill="1" applyBorder="1" applyAlignment="1" applyProtection="1">
      <alignment horizontal="left"/>
    </xf>
    <xf numFmtId="0" fontId="67" fillId="40" borderId="45" xfId="0" applyFont="1" applyFill="1" applyBorder="1" applyAlignment="1" applyProtection="1">
      <alignment horizontal="left"/>
    </xf>
    <xf numFmtId="0" fontId="31" fillId="0" borderId="0" xfId="0" applyFont="1" applyAlignment="1" applyProtection="1">
      <alignment vertical="center"/>
    </xf>
    <xf numFmtId="0" fontId="36" fillId="8" borderId="0" xfId="3" applyFill="1" applyAlignment="1" applyProtection="1">
      <alignment vertical="center"/>
    </xf>
    <xf numFmtId="0" fontId="32" fillId="0" borderId="0" xfId="0" applyFont="1" applyAlignment="1" applyProtection="1">
      <alignment horizontal="center" vertical="center" wrapText="1"/>
    </xf>
    <xf numFmtId="0" fontId="33" fillId="21" borderId="9" xfId="0" applyFont="1" applyFill="1" applyBorder="1" applyAlignment="1" applyProtection="1">
      <alignment vertical="center" wrapText="1"/>
    </xf>
    <xf numFmtId="0" fontId="33" fillId="21" borderId="10" xfId="0" applyFont="1" applyFill="1" applyBorder="1" applyAlignment="1" applyProtection="1">
      <alignment vertical="center" wrapText="1"/>
    </xf>
    <xf numFmtId="0" fontId="33" fillId="21" borderId="11" xfId="0" applyFont="1" applyFill="1" applyBorder="1" applyAlignment="1" applyProtection="1">
      <alignment vertical="center" wrapText="1"/>
    </xf>
    <xf numFmtId="0" fontId="32" fillId="0" borderId="0" xfId="0" applyFont="1" applyAlignment="1" applyProtection="1">
      <alignment vertical="center" wrapText="1"/>
    </xf>
    <xf numFmtId="0" fontId="34" fillId="0" borderId="0" xfId="0" applyFont="1" applyAlignment="1" applyProtection="1">
      <alignment horizontal="center" vertical="center" wrapText="1"/>
    </xf>
    <xf numFmtId="0" fontId="32" fillId="0" borderId="28" xfId="0" applyFont="1" applyBorder="1" applyAlignment="1" applyProtection="1">
      <alignment horizontal="center" vertical="center"/>
    </xf>
    <xf numFmtId="0" fontId="0" fillId="35" borderId="32" xfId="9" applyFont="1" applyBorder="1" applyAlignment="1" applyProtection="1">
      <alignment horizontal="left" vertical="center" wrapText="1"/>
    </xf>
    <xf numFmtId="169" fontId="22" fillId="35" borderId="33" xfId="9" applyNumberFormat="1" applyBorder="1" applyAlignment="1" applyProtection="1">
      <alignment horizontal="center" vertical="center" wrapText="1"/>
    </xf>
    <xf numFmtId="0" fontId="0" fillId="35" borderId="33" xfId="9" applyFont="1" applyBorder="1" applyAlignment="1" applyProtection="1">
      <alignment horizontal="center" vertical="center" wrapText="1"/>
    </xf>
    <xf numFmtId="0" fontId="32" fillId="0" borderId="34" xfId="0" applyFont="1" applyBorder="1" applyAlignment="1" applyProtection="1">
      <alignment vertical="center"/>
    </xf>
    <xf numFmtId="0" fontId="0" fillId="35" borderId="35" xfId="9" applyFont="1" applyBorder="1" applyAlignment="1" applyProtection="1">
      <alignment vertical="center" wrapText="1"/>
    </xf>
    <xf numFmtId="0" fontId="22" fillId="35" borderId="1" xfId="9" applyBorder="1" applyAlignment="1" applyProtection="1">
      <alignment vertical="center" wrapText="1"/>
    </xf>
    <xf numFmtId="0" fontId="32" fillId="26" borderId="29" xfId="0" applyFont="1" applyFill="1" applyBorder="1" applyAlignment="1" applyProtection="1">
      <alignment horizontal="center" vertical="center" wrapText="1"/>
    </xf>
    <xf numFmtId="0" fontId="0" fillId="35" borderId="36" xfId="9" applyFont="1" applyBorder="1" applyAlignment="1" applyProtection="1">
      <alignment horizontal="left" vertical="center" wrapText="1"/>
    </xf>
    <xf numFmtId="169" fontId="22" fillId="35" borderId="1" xfId="9" applyNumberFormat="1" applyBorder="1" applyAlignment="1" applyProtection="1">
      <alignment horizontal="center" vertical="center" wrapText="1"/>
    </xf>
    <xf numFmtId="0" fontId="0" fillId="35" borderId="1" xfId="9" applyFont="1" applyBorder="1" applyAlignment="1" applyProtection="1">
      <alignment horizontal="center" vertical="center" wrapText="1"/>
    </xf>
    <xf numFmtId="0" fontId="32" fillId="0" borderId="0" xfId="0" applyFont="1" applyBorder="1" applyAlignment="1" applyProtection="1">
      <alignment vertical="center"/>
    </xf>
    <xf numFmtId="0" fontId="22" fillId="35" borderId="37" xfId="9" applyBorder="1" applyAlignment="1" applyProtection="1">
      <alignment vertical="center" wrapText="1"/>
    </xf>
    <xf numFmtId="0" fontId="22" fillId="35" borderId="36" xfId="9" applyBorder="1" applyAlignment="1" applyProtection="1">
      <alignment horizontal="left" vertical="center" wrapText="1"/>
    </xf>
    <xf numFmtId="0" fontId="22" fillId="35" borderId="1" xfId="9" applyBorder="1" applyAlignment="1" applyProtection="1">
      <alignment horizontal="center" vertical="center" wrapText="1"/>
    </xf>
    <xf numFmtId="3" fontId="32" fillId="26" borderId="29" xfId="0" applyNumberFormat="1" applyFont="1" applyFill="1" applyBorder="1" applyAlignment="1" applyProtection="1">
      <alignment horizontal="center" vertical="center"/>
    </xf>
    <xf numFmtId="0" fontId="34" fillId="27" borderId="29" xfId="0" applyFont="1" applyFill="1" applyBorder="1" applyAlignment="1" applyProtection="1">
      <alignment horizontal="center" vertical="center"/>
    </xf>
    <xf numFmtId="0" fontId="32" fillId="0" borderId="28" xfId="0" applyFont="1" applyBorder="1" applyAlignment="1" applyProtection="1">
      <alignment vertical="center"/>
    </xf>
    <xf numFmtId="166" fontId="32" fillId="26" borderId="29" xfId="0" applyNumberFormat="1" applyFont="1" applyFill="1" applyBorder="1" applyAlignment="1" applyProtection="1">
      <alignment horizontal="center" vertical="center"/>
    </xf>
    <xf numFmtId="168" fontId="32" fillId="4" borderId="29" xfId="1" applyNumberFormat="1" applyFont="1" applyFill="1" applyBorder="1" applyAlignment="1" applyProtection="1">
      <alignment horizontal="center" vertical="center"/>
    </xf>
    <xf numFmtId="168" fontId="22" fillId="35" borderId="29" xfId="9" applyNumberFormat="1" applyBorder="1" applyAlignment="1" applyProtection="1">
      <alignment horizontal="center" vertical="center"/>
    </xf>
    <xf numFmtId="168" fontId="32" fillId="26" borderId="29" xfId="1" applyNumberFormat="1" applyFont="1" applyFill="1" applyBorder="1" applyAlignment="1" applyProtection="1">
      <alignment horizontal="center" vertical="center"/>
    </xf>
    <xf numFmtId="0" fontId="36" fillId="22" borderId="30" xfId="0" applyFont="1" applyFill="1" applyBorder="1" applyAlignment="1" applyProtection="1">
      <alignment horizontal="center" vertical="center"/>
    </xf>
    <xf numFmtId="10" fontId="32" fillId="19" borderId="29" xfId="1" applyNumberFormat="1" applyFont="1" applyFill="1" applyBorder="1" applyAlignment="1" applyProtection="1">
      <alignment horizontal="center" vertical="center"/>
    </xf>
    <xf numFmtId="168" fontId="38" fillId="0" borderId="29" xfId="1" applyNumberFormat="1" applyFont="1" applyFill="1" applyBorder="1" applyAlignment="1" applyProtection="1">
      <alignment horizontal="center" vertical="center"/>
    </xf>
    <xf numFmtId="168" fontId="38" fillId="11" borderId="29" xfId="1" applyNumberFormat="1" applyFont="1" applyFill="1" applyBorder="1" applyAlignment="1" applyProtection="1">
      <alignment horizontal="center" vertical="center"/>
    </xf>
    <xf numFmtId="0" fontId="32" fillId="0" borderId="6" xfId="0" applyFont="1" applyBorder="1" applyAlignment="1" applyProtection="1">
      <alignment vertical="center"/>
    </xf>
    <xf numFmtId="0" fontId="22" fillId="35" borderId="38" xfId="9" applyBorder="1" applyAlignment="1" applyProtection="1">
      <alignment horizontal="left" vertical="center" wrapText="1"/>
    </xf>
    <xf numFmtId="0" fontId="22" fillId="35" borderId="39" xfId="9" applyBorder="1" applyAlignment="1" applyProtection="1">
      <alignment vertical="center" wrapText="1"/>
    </xf>
    <xf numFmtId="0" fontId="22" fillId="35" borderId="39" xfId="9" applyBorder="1" applyAlignment="1" applyProtection="1">
      <alignment horizontal="center" vertical="center" wrapText="1"/>
    </xf>
    <xf numFmtId="0" fontId="32" fillId="0" borderId="41" xfId="0" applyFont="1" applyBorder="1" applyAlignment="1" applyProtection="1">
      <alignment vertical="center"/>
    </xf>
    <xf numFmtId="0" fontId="22" fillId="35" borderId="40" xfId="9" applyBorder="1" applyAlignment="1" applyProtection="1">
      <alignment vertical="center" wrapText="1"/>
    </xf>
    <xf numFmtId="9" fontId="38" fillId="5" borderId="29" xfId="1" applyNumberFormat="1" applyFont="1" applyFill="1" applyBorder="1" applyAlignment="1" applyProtection="1">
      <alignment horizontal="center" vertical="center"/>
    </xf>
    <xf numFmtId="9" fontId="38" fillId="11" borderId="29" xfId="1" applyNumberFormat="1" applyFont="1" applyFill="1" applyBorder="1" applyAlignment="1" applyProtection="1">
      <alignment horizontal="center" vertical="center"/>
    </xf>
    <xf numFmtId="0" fontId="36" fillId="20" borderId="30" xfId="0" applyFont="1" applyFill="1" applyBorder="1" applyAlignment="1" applyProtection="1">
      <alignment horizontal="center" vertical="center"/>
    </xf>
    <xf numFmtId="9" fontId="38" fillId="11" borderId="29" xfId="1" applyFont="1" applyFill="1" applyBorder="1" applyAlignment="1" applyProtection="1">
      <alignment horizontal="center" vertical="center"/>
    </xf>
    <xf numFmtId="10" fontId="32" fillId="9" borderId="29" xfId="1" applyNumberFormat="1" applyFont="1" applyFill="1" applyBorder="1" applyAlignment="1" applyProtection="1">
      <alignment horizontal="center" vertical="center"/>
    </xf>
    <xf numFmtId="9" fontId="38" fillId="11" borderId="31" xfId="1" applyNumberFormat="1" applyFont="1" applyFill="1" applyBorder="1" applyAlignment="1" applyProtection="1">
      <alignment horizontal="center" vertical="center"/>
    </xf>
  </cellXfs>
  <cellStyles count="15">
    <cellStyle name="20 % - Accent3" xfId="7" builtinId="38"/>
    <cellStyle name="40 % - Accent1" xfId="4" builtinId="31"/>
    <cellStyle name="40 % - Accent2" xfId="5" builtinId="35"/>
    <cellStyle name="40 % - Accent3" xfId="8" builtinId="39"/>
    <cellStyle name="40 % - Accent4" xfId="9" builtinId="43"/>
    <cellStyle name="40 % - Accent5" xfId="11" builtinId="47"/>
    <cellStyle name="40 % - Accent6" xfId="12" builtinId="51"/>
    <cellStyle name="60 % - Accent6" xfId="13" builtinId="52"/>
    <cellStyle name="Accent1" xfId="3" builtinId="29"/>
    <cellStyle name="Accent3" xfId="6" builtinId="37"/>
    <cellStyle name="Accent5" xfId="10" builtinId="45"/>
    <cellStyle name="Lien hypertexte" xfId="14" builtinId="8"/>
    <cellStyle name="Normal" xfId="0" builtinId="0"/>
    <cellStyle name="Note" xfId="2" builtinId="10"/>
    <cellStyle name="Pourcentage" xfId="1" builtinId="5"/>
  </cellStyles>
  <dxfs count="111">
    <dxf>
      <protection locked="1" hidden="0"/>
    </dxf>
    <dxf>
      <alignment horizontal="general" vertical="bottom"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protection locked="1" hidden="0"/>
    </dxf>
    <dxf>
      <numFmt numFmtId="0" formatCode="General"/>
      <border diagonalUp="0" diagonalDown="0">
        <left/>
        <right/>
        <top style="medium">
          <color auto="1"/>
        </top>
        <bottom style="medium">
          <color auto="1"/>
        </bottom>
        <vertical/>
        <horizontal style="medium">
          <color auto="1"/>
        </horizontal>
      </border>
      <protection locked="1" hidden="0"/>
    </dxf>
    <dxf>
      <numFmt numFmtId="0" formatCode="General"/>
      <border diagonalUp="0" diagonalDown="0">
        <left/>
        <right/>
        <top style="medium">
          <color auto="1"/>
        </top>
        <bottom style="medium">
          <color auto="1"/>
        </bottom>
        <vertical/>
        <horizontal style="medium">
          <color auto="1"/>
        </horizontal>
      </border>
      <protection locked="1" hidden="0"/>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patternType="lightUp"/>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patternType="lightUp">
          <bgColor auto="1"/>
        </patternFill>
      </fill>
    </dxf>
    <dxf>
      <font>
        <color theme="0"/>
      </font>
      <fill>
        <patternFill>
          <bgColor theme="0"/>
        </patternFill>
      </fill>
      <border>
        <left/>
        <right/>
        <top/>
        <bottom/>
        <vertical/>
        <horizontal/>
      </border>
    </dxf>
    <dxf>
      <fill>
        <patternFill>
          <bgColor theme="7" tint="0.79998168889431442"/>
        </patternFill>
      </fill>
    </dxf>
    <dxf>
      <fill>
        <patternFill>
          <bgColor rgb="FFFF0000"/>
        </patternFill>
      </fill>
    </dxf>
    <dxf>
      <font>
        <color theme="0"/>
      </font>
      <fill>
        <patternFill>
          <bgColor theme="0"/>
        </patternFill>
      </fill>
      <border>
        <left/>
        <right/>
        <top/>
        <bottom/>
        <vertical/>
        <horizontal/>
      </border>
    </dxf>
    <dxf>
      <fill>
        <patternFill>
          <bgColor theme="7" tint="0.79998168889431442"/>
        </patternFill>
      </fill>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13 2" pivot="0" count="9">
      <tableStyleElement type="wholeTable" dxfId="110"/>
      <tableStyleElement type="headerRow" dxfId="109"/>
      <tableStyleElement type="totalRow" dxfId="108"/>
      <tableStyleElement type="firstColumn" dxfId="107"/>
      <tableStyleElement type="lastColumn" dxfId="106"/>
      <tableStyleElement type="firstRowStripe" dxfId="105"/>
      <tableStyleElement type="secondRowStripe" dxfId="104"/>
      <tableStyleElement type="firstColumnStripe" dxfId="103"/>
      <tableStyleElement type="secondColumnStripe" dxfId="102"/>
    </tableStyle>
  </tableStyles>
  <colors>
    <mruColors>
      <color rgb="FFFF7D7D"/>
      <color rgb="FFFF5050"/>
      <color rgb="FFF2DCDB"/>
      <color rgb="FFFF7C80"/>
      <color rgb="FFCCCCFF"/>
      <color rgb="FF1F497D"/>
      <color rgb="FFCC3300"/>
      <color rgb="FFC0504D"/>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45767195767196"/>
          <c:y val="0.19129188712522047"/>
          <c:w val="0.45108465608465609"/>
          <c:h val="0.75180776014109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DF-4751-B355-F2AB2AFC2A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DF-4751-B355-F2AB2AFC2A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DF-4751-B355-F2AB2AFC2AB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DF-4751-B355-F2AB2AFC2A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F8-4E70-B2FD-D38B2FB98B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C9-4261-81CD-9AE8E26D3A0D}"/>
              </c:ext>
            </c:extLst>
          </c:dPt>
          <c:dLbls>
            <c:dLbl>
              <c:idx val="1"/>
              <c:layout>
                <c:manualLayout>
                  <c:x val="0.15600458468176914"/>
                  <c:y val="0.26458333333333334"/>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7DF-4751-B355-F2AB2AFC2ABA}"/>
                </c:ext>
              </c:extLst>
            </c:dLbl>
            <c:dLbl>
              <c:idx val="3"/>
              <c:layout>
                <c:manualLayout>
                  <c:x val="-4.2187702265372169E-2"/>
                  <c:y val="-4.8626543209876541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07DF-4751-B355-F2AB2AFC2ABA}"/>
                </c:ext>
              </c:extLst>
            </c:dLbl>
            <c:dLbl>
              <c:idx val="4"/>
              <c:layout>
                <c:manualLayout>
                  <c:x val="-9.4918284789644022E-2"/>
                  <c:y val="5.9569664902998233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0AF8-4E70-B2FD-D38B2FB98B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'SYNTHESE EXCEL'!$E$8:$J$8</c:f>
              <c:strCache>
                <c:ptCount val="6"/>
                <c:pt idx="0">
                  <c:v>réception</c:v>
                </c:pt>
                <c:pt idx="1">
                  <c:v>calibration/lavage</c:v>
                </c:pt>
                <c:pt idx="2">
                  <c:v>séchage</c:v>
                </c:pt>
                <c:pt idx="3">
                  <c:v>conditionnement</c:v>
                </c:pt>
                <c:pt idx="4">
                  <c:v>0</c:v>
                </c:pt>
                <c:pt idx="5">
                  <c:v>0</c:v>
                </c:pt>
              </c:strCache>
            </c:strRef>
          </c:cat>
          <c:val>
            <c:numRef>
              <c:f>'SYNTHESE EXCEL'!$E$42:$J$42</c:f>
              <c:numCache>
                <c:formatCode>#,##0.00</c:formatCode>
                <c:ptCount val="6"/>
                <c:pt idx="0">
                  <c:v>0.1198</c:v>
                </c:pt>
                <c:pt idx="1">
                  <c:v>0.48</c:v>
                </c:pt>
                <c:pt idx="2">
                  <c:v>0</c:v>
                </c:pt>
                <c:pt idx="3">
                  <c:v>0.5605</c:v>
                </c:pt>
                <c:pt idx="4">
                  <c:v>0</c:v>
                </c:pt>
                <c:pt idx="5">
                  <c:v>0</c:v>
                </c:pt>
              </c:numCache>
            </c:numRef>
          </c:val>
          <c:extLst>
            <c:ext xmlns:c16="http://schemas.microsoft.com/office/drawing/2014/chart" uri="{C3380CC4-5D6E-409C-BE32-E72D297353CC}">
              <c16:uniqueId val="{00000001-EF95-4245-9811-D74FB4D6E6F7}"/>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42-47AC-96FA-FE60D7AB96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42-47AC-96FA-FE60D7AB96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942-47AC-96FA-FE60D7AB96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942-47AC-96FA-FE60D7AB967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EXTRACT!$B$34:$B$37</c:f>
              <c:strCache>
                <c:ptCount val="4"/>
                <c:pt idx="0">
                  <c:v>Consommation humaine</c:v>
                </c:pt>
                <c:pt idx="1">
                  <c:v>Alimentation animale</c:v>
                </c:pt>
                <c:pt idx="2">
                  <c:v>Valorisation énergétique</c:v>
                </c:pt>
                <c:pt idx="3">
                  <c:v>Déchets</c:v>
                </c:pt>
              </c:strCache>
            </c:strRef>
          </c:cat>
          <c:val>
            <c:numRef>
              <c:f>EXTRACT!$D$34:$D$37</c:f>
              <c:numCache>
                <c:formatCode>0%</c:formatCode>
                <c:ptCount val="4"/>
                <c:pt idx="0">
                  <c:v>0</c:v>
                </c:pt>
                <c:pt idx="1">
                  <c:v>0</c:v>
                </c:pt>
                <c:pt idx="2">
                  <c:v>0.75</c:v>
                </c:pt>
                <c:pt idx="3">
                  <c:v>0.25</c:v>
                </c:pt>
              </c:numCache>
            </c:numRef>
          </c:val>
          <c:extLst>
            <c:ext xmlns:c16="http://schemas.microsoft.com/office/drawing/2014/chart" uri="{C3380CC4-5D6E-409C-BE32-E72D297353CC}">
              <c16:uniqueId val="{00000000-2524-429F-8E37-15535C745431}"/>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45767195767196"/>
          <c:y val="0.2024911816578483"/>
          <c:w val="0.45108465608465609"/>
          <c:h val="0.75180776014109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0D-4678-8209-210E632736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0D-4678-8209-210E632736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0D-4678-8209-210E632736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19E-4CCC-85EB-73D6A557219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19E-4CCC-85EB-73D6A557219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9E-4CCC-85EB-73D6A557219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19E-4CCC-85EB-73D6A557219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19E-4CCC-85EB-73D6A557219C}"/>
              </c:ext>
            </c:extLst>
          </c:dPt>
          <c:dLbls>
            <c:dLbl>
              <c:idx val="2"/>
              <c:layout>
                <c:manualLayout>
                  <c:x val="0.14341208198489752"/>
                  <c:y val="0.2075630511463844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D0D-4678-8209-210E632736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'SYNTHESE EXCEL'!$C$43:$C$50</c:f>
              <c:strCache>
                <c:ptCount val="8"/>
                <c:pt idx="0">
                  <c:v>tomates grappe</c:v>
                </c:pt>
                <c:pt idx="1">
                  <c:v>herbes de provence</c:v>
                </c:pt>
                <c:pt idx="2">
                  <c:v>huile d'olive</c:v>
                </c:pt>
                <c:pt idx="3">
                  <c:v>0</c:v>
                </c:pt>
                <c:pt idx="4">
                  <c:v>0</c:v>
                </c:pt>
                <c:pt idx="5">
                  <c:v>0</c:v>
                </c:pt>
                <c:pt idx="6">
                  <c:v>0</c:v>
                </c:pt>
                <c:pt idx="7">
                  <c:v>0</c:v>
                </c:pt>
              </c:strCache>
            </c:strRef>
          </c:cat>
          <c:val>
            <c:numRef>
              <c:f>'SYNTHESE EXCEL'!$L$43:$L$50</c:f>
              <c:numCache>
                <c:formatCode>#,##0.00</c:formatCode>
                <c:ptCount val="8"/>
                <c:pt idx="0">
                  <c:v>0.78979999999999995</c:v>
                </c:pt>
                <c:pt idx="1">
                  <c:v>#N/A</c:v>
                </c:pt>
                <c:pt idx="2">
                  <c:v>#N/A</c:v>
                </c:pt>
                <c:pt idx="3">
                  <c:v>0</c:v>
                </c:pt>
                <c:pt idx="4">
                  <c:v>0</c:v>
                </c:pt>
                <c:pt idx="5">
                  <c:v>0</c:v>
                </c:pt>
                <c:pt idx="6">
                  <c:v>0</c:v>
                </c:pt>
                <c:pt idx="7">
                  <c:v>0</c:v>
                </c:pt>
              </c:numCache>
            </c:numRef>
          </c:val>
          <c:extLst>
            <c:ext xmlns:c16="http://schemas.microsoft.com/office/drawing/2014/chart" uri="{C3380CC4-5D6E-409C-BE32-E72D297353CC}">
              <c16:uniqueId val="{0000000C-CD0D-4678-8209-210E6327361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'SYNTHESE EXCEL'!$E$8:$J$8</c:f>
              <c:strCache>
                <c:ptCount val="6"/>
                <c:pt idx="0">
                  <c:v>réception</c:v>
                </c:pt>
                <c:pt idx="1">
                  <c:v>calibration/lavage</c:v>
                </c:pt>
                <c:pt idx="2">
                  <c:v>séchage</c:v>
                </c:pt>
                <c:pt idx="3">
                  <c:v>conditionnement</c:v>
                </c:pt>
                <c:pt idx="4">
                  <c:v>0</c:v>
                </c:pt>
                <c:pt idx="5">
                  <c:v>0</c:v>
                </c:pt>
              </c:strCache>
            </c:strRef>
          </c:cat>
          <c:val>
            <c:numRef>
              <c:f>'SYNTHESE EXCEL'!$E$52:$J$52</c:f>
              <c:numCache>
                <c:formatCode>#,##0.00</c:formatCode>
                <c:ptCount val="6"/>
                <c:pt idx="0">
                  <c:v>0.50590219224283306</c:v>
                </c:pt>
                <c:pt idx="1">
                  <c:v>2.1313614615050023</c:v>
                </c:pt>
                <c:pt idx="2">
                  <c:v>0</c:v>
                </c:pt>
                <c:pt idx="3">
                  <c:v>10.080935251798561</c:v>
                </c:pt>
                <c:pt idx="4">
                  <c:v>0</c:v>
                </c:pt>
                <c:pt idx="5">
                  <c:v>0</c:v>
                </c:pt>
              </c:numCache>
            </c:numRef>
          </c:val>
          <c:extLst>
            <c:ext xmlns:c16="http://schemas.microsoft.com/office/drawing/2014/chart" uri="{C3380CC4-5D6E-409C-BE32-E72D297353CC}">
              <c16:uniqueId val="{0000000C-A4DC-45E9-A788-6A7559D7FE60}"/>
            </c:ext>
          </c:extLst>
        </c:ser>
        <c:dLbls>
          <c:showLegendKey val="0"/>
          <c:showVal val="0"/>
          <c:showCatName val="0"/>
          <c:showSerName val="0"/>
          <c:showPercent val="0"/>
          <c:showBubbleSize val="0"/>
        </c:dLbls>
        <c:gapWidth val="100"/>
        <c:axId val="317709576"/>
        <c:axId val="317710888"/>
      </c:barChart>
      <c:catAx>
        <c:axId val="317709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7710888"/>
        <c:crosses val="autoZero"/>
        <c:auto val="1"/>
        <c:lblAlgn val="ctr"/>
        <c:lblOffset val="100"/>
        <c:noMultiLvlLbl val="0"/>
      </c:catAx>
      <c:valAx>
        <c:axId val="3177108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7709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w="19050">
              <a:solidFill>
                <a:schemeClr val="lt1"/>
              </a:solidFill>
            </a:ln>
            <a:effectLst/>
          </c:spPr>
          <c:invertIfNegative val="0"/>
          <c:dPt>
            <c:idx val="2"/>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1-C9FE-42B0-82EF-CACB23DFA290}"/>
              </c:ext>
            </c:extLst>
          </c:dPt>
          <c:dPt>
            <c:idx val="3"/>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843E-4402-8AD4-C30DC29A3B9D}"/>
              </c:ext>
            </c:extLst>
          </c:dPt>
          <c:dPt>
            <c:idx val="4"/>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5-843E-4402-8AD4-C30DC29A3B9D}"/>
              </c:ext>
            </c:extLst>
          </c:dPt>
          <c:dPt>
            <c:idx val="5"/>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7-843E-4402-8AD4-C30DC29A3B9D}"/>
              </c:ext>
            </c:extLst>
          </c:dPt>
          <c:dPt>
            <c:idx val="6"/>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9-843E-4402-8AD4-C30DC29A3B9D}"/>
              </c:ext>
            </c:extLst>
          </c:dPt>
          <c:dPt>
            <c:idx val="7"/>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B-843E-4402-8AD4-C30DC29A3B9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'SYNTHESE EXCEL'!$C$53:$C$60</c:f>
              <c:strCache>
                <c:ptCount val="8"/>
                <c:pt idx="0">
                  <c:v>tomates grappe</c:v>
                </c:pt>
                <c:pt idx="1">
                  <c:v>herbes de provence</c:v>
                </c:pt>
                <c:pt idx="2">
                  <c:v>huile d'olive</c:v>
                </c:pt>
                <c:pt idx="3">
                  <c:v>0</c:v>
                </c:pt>
                <c:pt idx="4">
                  <c:v>0</c:v>
                </c:pt>
                <c:pt idx="5">
                  <c:v>0</c:v>
                </c:pt>
                <c:pt idx="6">
                  <c:v>0</c:v>
                </c:pt>
                <c:pt idx="7">
                  <c:v>0</c:v>
                </c:pt>
              </c:strCache>
            </c:strRef>
          </c:cat>
          <c:val>
            <c:numRef>
              <c:f>'SYNTHESE EXCEL'!$L$53:$L$60</c:f>
              <c:numCache>
                <c:formatCode>#,##0.00</c:formatCode>
                <c:ptCount val="8"/>
                <c:pt idx="0">
                  <c:v>8.1027667984189584</c:v>
                </c:pt>
                <c:pt idx="1">
                  <c:v>8.7499999999999964</c:v>
                </c:pt>
                <c:pt idx="2">
                  <c:v>60</c:v>
                </c:pt>
                <c:pt idx="3">
                  <c:v>0</c:v>
                </c:pt>
                <c:pt idx="4">
                  <c:v>0</c:v>
                </c:pt>
                <c:pt idx="5">
                  <c:v>0</c:v>
                </c:pt>
                <c:pt idx="6">
                  <c:v>0</c:v>
                </c:pt>
                <c:pt idx="7">
                  <c:v>0</c:v>
                </c:pt>
              </c:numCache>
            </c:numRef>
          </c:val>
          <c:extLst>
            <c:ext xmlns:c16="http://schemas.microsoft.com/office/drawing/2014/chart" uri="{C3380CC4-5D6E-409C-BE32-E72D297353CC}">
              <c16:uniqueId val="{00000001-5999-4027-8B7E-C8142699E4C8}"/>
            </c:ext>
          </c:extLst>
        </c:ser>
        <c:dLbls>
          <c:showLegendKey val="0"/>
          <c:showVal val="0"/>
          <c:showCatName val="0"/>
          <c:showSerName val="0"/>
          <c:showPercent val="0"/>
          <c:showBubbleSize val="0"/>
        </c:dLbls>
        <c:gapWidth val="100"/>
        <c:axId val="317709576"/>
        <c:axId val="317710888"/>
      </c:barChart>
      <c:catAx>
        <c:axId val="317709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7710888"/>
        <c:crosses val="autoZero"/>
        <c:auto val="1"/>
        <c:lblAlgn val="ctr"/>
        <c:lblOffset val="100"/>
        <c:noMultiLvlLbl val="0"/>
      </c:catAx>
      <c:valAx>
        <c:axId val="31771088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7709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63-4168-8826-CF917A13D3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63-4168-8826-CF917A13D3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63-4168-8826-CF917A13D3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63-4168-8826-CF917A13D30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76-49DF-9381-6DB247ABB8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240-4561-ACEB-E1B3607E34BD}"/>
              </c:ext>
            </c:extLst>
          </c:dPt>
          <c:dLbls>
            <c:dLbl>
              <c:idx val="1"/>
              <c:layout>
                <c:manualLayout>
                  <c:x val="0.18259142394822006"/>
                  <c:y val="0.2981812169312169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63-4168-8826-CF917A13D3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'SYNTHESE EXCEL'!$E$8:$J$8</c:f>
              <c:strCache>
                <c:ptCount val="6"/>
                <c:pt idx="0">
                  <c:v>réception</c:v>
                </c:pt>
                <c:pt idx="1">
                  <c:v>calibration/lavage</c:v>
                </c:pt>
                <c:pt idx="2">
                  <c:v>séchage</c:v>
                </c:pt>
                <c:pt idx="3">
                  <c:v>conditionnement</c:v>
                </c:pt>
                <c:pt idx="4">
                  <c:v>0</c:v>
                </c:pt>
                <c:pt idx="5">
                  <c:v>0</c:v>
                </c:pt>
              </c:strCache>
            </c:strRef>
          </c:cat>
          <c:val>
            <c:numRef>
              <c:f>'SYNTHESE EXCEL'!$E$86:$J$86</c:f>
              <c:numCache>
                <c:formatCode>#,##0</c:formatCode>
                <c:ptCount val="6"/>
                <c:pt idx="0">
                  <c:v>2729.660708263069</c:v>
                </c:pt>
                <c:pt idx="1">
                  <c:v>-1412.0397375462753</c:v>
                </c:pt>
                <c:pt idx="2">
                  <c:v>0</c:v>
                </c:pt>
                <c:pt idx="3">
                  <c:v>6138.4218129181654</c:v>
                </c:pt>
                <c:pt idx="4">
                  <c:v>0</c:v>
                </c:pt>
                <c:pt idx="5">
                  <c:v>0</c:v>
                </c:pt>
              </c:numCache>
            </c:numRef>
          </c:val>
          <c:extLst>
            <c:ext xmlns:c16="http://schemas.microsoft.com/office/drawing/2014/chart" uri="{C3380CC4-5D6E-409C-BE32-E72D297353CC}">
              <c16:uniqueId val="{0000000C-0A63-4168-8826-CF917A13D307}"/>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4692556634301"/>
          <c:y val="0.12409611992945324"/>
          <c:w val="0.45984358144552318"/>
          <c:h val="0.751807760141093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FA-4390-97E4-EB287A0370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9FB0-4CFB-BE3C-0FA02E6B6B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FA-4390-97E4-EB287A0370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8B05-4D14-B45C-56246750CA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D-9FB0-4CFB-BE3C-0FA02E6B6BE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F-9FB0-4CFB-BE3C-0FA02E6B6BE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BFA-4390-97E4-EB287A03703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BFA-4390-97E4-EB287A037030}"/>
              </c:ext>
            </c:extLst>
          </c:dPt>
          <c:dLbls>
            <c:dLbl>
              <c:idx val="2"/>
              <c:layout>
                <c:manualLayout>
                  <c:x val="-0.19240989791841681"/>
                  <c:y val="0.1425185185185185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BFA-4390-97E4-EB287A037030}"/>
                </c:ext>
              </c:extLst>
            </c:dLbl>
            <c:dLbl>
              <c:idx val="6"/>
              <c:layout>
                <c:manualLayout>
                  <c:x val="-4.3969715205700102E-2"/>
                  <c:y val="4.1997354497354498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EBFA-4390-97E4-EB287A037030}"/>
                </c:ext>
              </c:extLst>
            </c:dLbl>
            <c:dLbl>
              <c:idx val="7"/>
              <c:layout>
                <c:manualLayout>
                  <c:x val="2.3274002157497239E-2"/>
                  <c:y val="1.3999118165784832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EBFA-4390-97E4-EB287A037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'SYNTHESE EXCEL'!$C$87:$C$94</c:f>
              <c:strCache>
                <c:ptCount val="8"/>
                <c:pt idx="0">
                  <c:v>MPA</c:v>
                </c:pt>
                <c:pt idx="1">
                  <c:v>Emballages</c:v>
                </c:pt>
                <c:pt idx="2">
                  <c:v>Electricité</c:v>
                </c:pt>
                <c:pt idx="3">
                  <c:v>Gaz</c:v>
                </c:pt>
                <c:pt idx="4">
                  <c:v>Autre énergie</c:v>
                </c:pt>
                <c:pt idx="5">
                  <c:v>Eau</c:v>
                </c:pt>
                <c:pt idx="6">
                  <c:v>Main d'œuvre </c:v>
                </c:pt>
                <c:pt idx="7">
                  <c:v>Gestion des déchets interne</c:v>
                </c:pt>
              </c:strCache>
            </c:strRef>
          </c:cat>
          <c:val>
            <c:numRef>
              <c:f>'SYNTHESE EXCEL'!$L$87:$L$94</c:f>
              <c:numCache>
                <c:formatCode>#,##0</c:formatCode>
                <c:ptCount val="8"/>
                <c:pt idx="0">
                  <c:v>7931.7169245464866</c:v>
                </c:pt>
                <c:pt idx="1">
                  <c:v>225.10036984516324</c:v>
                </c:pt>
                <c:pt idx="2">
                  <c:v>41.346589205759841</c:v>
                </c:pt>
                <c:pt idx="3">
                  <c:v>0</c:v>
                </c:pt>
                <c:pt idx="4">
                  <c:v>0</c:v>
                </c:pt>
                <c:pt idx="5">
                  <c:v>37.18792817973862</c:v>
                </c:pt>
                <c:pt idx="6">
                  <c:v>2909.0159718578093</c:v>
                </c:pt>
                <c:pt idx="7">
                  <c:v>413.17500000000001</c:v>
                </c:pt>
              </c:numCache>
            </c:numRef>
          </c:val>
          <c:extLst>
            <c:ext xmlns:c16="http://schemas.microsoft.com/office/drawing/2014/chart" uri="{C3380CC4-5D6E-409C-BE32-E72D297353CC}">
              <c16:uniqueId val="{00000010-EBFA-4390-97E4-EB287A037030}"/>
            </c:ext>
          </c:extLst>
        </c:ser>
        <c:dLbls>
          <c:showLegendKey val="0"/>
          <c:showVal val="0"/>
          <c:showCatName val="1"/>
          <c:showSerName val="0"/>
          <c:showPercent val="1"/>
          <c:showBubbleSize val="0"/>
          <c:showLeaderLines val="1"/>
        </c:dLbls>
        <c:firstSliceAng val="0"/>
      </c:pieChart>
      <c:spPr>
        <a:noFill/>
        <a:ln>
          <a:noFill/>
        </a:ln>
        <a:effectLst/>
      </c:spPr>
    </c:plotArea>
    <c:legend>
      <c:legendPos val="r"/>
      <c:layout>
        <c:manualLayout>
          <c:xMode val="edge"/>
          <c:yMode val="edge"/>
          <c:x val="0.67228721682847892"/>
          <c:y val="4.4325396825396816E-2"/>
          <c:w val="0.30716262135922329"/>
          <c:h val="0.939347442680775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EA-4395-8989-60890966F5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EA-4395-8989-60890966F5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EA-4395-8989-60890966F5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EA-4395-8989-60890966F5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889-4D24-B4AA-AF07F775FA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77E-4AD9-99B1-FD478AF39E79}"/>
              </c:ext>
            </c:extLst>
          </c:dPt>
          <c:dLbls>
            <c:dLbl>
              <c:idx val="3"/>
              <c:layout>
                <c:manualLayout>
                  <c:x val="-9.2836434735706574E-2"/>
                  <c:y val="-2.739726631393298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8EA-4395-8989-60890966F5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'SYNTHESE EXCEL'!$E$8:$J$8</c:f>
              <c:strCache>
                <c:ptCount val="6"/>
                <c:pt idx="0">
                  <c:v>réception</c:v>
                </c:pt>
                <c:pt idx="1">
                  <c:v>calibration/lavage</c:v>
                </c:pt>
                <c:pt idx="2">
                  <c:v>séchage</c:v>
                </c:pt>
                <c:pt idx="3">
                  <c:v>conditionnement</c:v>
                </c:pt>
                <c:pt idx="4">
                  <c:v>0</c:v>
                </c:pt>
                <c:pt idx="5">
                  <c:v>0</c:v>
                </c:pt>
              </c:strCache>
            </c:strRef>
          </c:cat>
          <c:val>
            <c:numRef>
              <c:f>'SYNTHESE EXCEL'!$E$111:$J$111</c:f>
              <c:numCache>
                <c:formatCode>#,##0</c:formatCode>
                <c:ptCount val="6"/>
                <c:pt idx="0">
                  <c:v>2.30172</c:v>
                </c:pt>
                <c:pt idx="1">
                  <c:v>4.1771236962381639</c:v>
                </c:pt>
                <c:pt idx="2">
                  <c:v>0</c:v>
                </c:pt>
                <c:pt idx="3">
                  <c:v>19.937166403336569</c:v>
                </c:pt>
                <c:pt idx="4">
                  <c:v>0</c:v>
                </c:pt>
                <c:pt idx="5">
                  <c:v>0</c:v>
                </c:pt>
              </c:numCache>
            </c:numRef>
          </c:val>
          <c:extLst>
            <c:ext xmlns:c16="http://schemas.microsoft.com/office/drawing/2014/chart" uri="{C3380CC4-5D6E-409C-BE32-E72D297353CC}">
              <c16:uniqueId val="{0000000C-F8EA-4395-8989-60890966F5EC}"/>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04-4515-B28E-EBDBADC706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A40F-4885-9E15-A5FA2380EF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B04-4515-B28E-EBDBADC7069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6F29-4B9A-BE53-C3C88C4507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A40F-4885-9E15-A5FA2380EF1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B04-4515-B28E-EBDBADC70693}"/>
              </c:ext>
            </c:extLst>
          </c:dPt>
          <c:dLbls>
            <c:dLbl>
              <c:idx val="4"/>
              <c:layout>
                <c:manualLayout>
                  <c:x val="1.3556499460625674E-2"/>
                  <c:y val="-6.3386243386243388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A40F-4885-9E15-A5FA2380EF15}"/>
                </c:ext>
              </c:extLst>
            </c:dLbl>
            <c:dLbl>
              <c:idx val="5"/>
              <c:layout>
                <c:manualLayout>
                  <c:x val="-4.819309600862999E-3"/>
                  <c:y val="1.3999118165784832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B04-4515-B28E-EBDBADC706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'SYNTHESE EXCEL'!$C$112:$C$117</c:f>
              <c:strCache>
                <c:ptCount val="6"/>
                <c:pt idx="0">
                  <c:v>MPA</c:v>
                </c:pt>
                <c:pt idx="1">
                  <c:v>Emballages</c:v>
                </c:pt>
                <c:pt idx="2">
                  <c:v>Electricité</c:v>
                </c:pt>
                <c:pt idx="3">
                  <c:v>Gaz</c:v>
                </c:pt>
                <c:pt idx="4">
                  <c:v>Autre énergie</c:v>
                </c:pt>
                <c:pt idx="5">
                  <c:v>Gestion des déchets</c:v>
                </c:pt>
              </c:strCache>
            </c:strRef>
          </c:cat>
          <c:val>
            <c:numRef>
              <c:f>'SYNTHESE EXCEL'!$L$112:$L$117</c:f>
              <c:numCache>
                <c:formatCode>#,##0</c:formatCode>
                <c:ptCount val="6"/>
                <c:pt idx="0">
                  <c:v>25.993368084650498</c:v>
                </c:pt>
                <c:pt idx="1">
                  <c:v>0.19252536677908938</c:v>
                </c:pt>
                <c:pt idx="2">
                  <c:v>0.21638048351014313</c:v>
                </c:pt>
                <c:pt idx="3">
                  <c:v>0</c:v>
                </c:pt>
                <c:pt idx="4">
                  <c:v>0</c:v>
                </c:pt>
                <c:pt idx="5">
                  <c:v>1.3736164634999999E-2</c:v>
                </c:pt>
              </c:numCache>
            </c:numRef>
          </c:val>
          <c:extLst>
            <c:ext xmlns:c16="http://schemas.microsoft.com/office/drawing/2014/chart" uri="{C3380CC4-5D6E-409C-BE32-E72D297353CC}">
              <c16:uniqueId val="{00000012-9B04-4515-B28E-EBDBADC70693}"/>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EXTRACT!$G$37:$G$39</c:f>
              <c:strCache>
                <c:ptCount val="3"/>
                <c:pt idx="0">
                  <c:v>calibrage</c:v>
                </c:pt>
                <c:pt idx="1">
                  <c:v>conditionnement=&gt;calibrage bocaux</c:v>
                </c:pt>
                <c:pt idx="2">
                  <c:v>#N/A</c:v>
                </c:pt>
              </c:strCache>
            </c:strRef>
          </c:cat>
          <c:val>
            <c:numRef>
              <c:f>EXTRACT!$H$37:$H$39</c:f>
              <c:numCache>
                <c:formatCode>0%</c:formatCode>
                <c:ptCount val="3"/>
                <c:pt idx="0">
                  <c:v>0.625</c:v>
                </c:pt>
                <c:pt idx="1">
                  <c:v>0.37499999999999994</c:v>
                </c:pt>
                <c:pt idx="2">
                  <c:v>#N/A</c:v>
                </c:pt>
              </c:numCache>
            </c:numRef>
          </c:val>
          <c:extLst>
            <c:ext xmlns:c16="http://schemas.microsoft.com/office/drawing/2014/chart" uri="{C3380CC4-5D6E-409C-BE32-E72D297353CC}">
              <c16:uniqueId val="{00000000-9A21-4AA2-9BB5-90614FE8CAB9}"/>
            </c:ext>
          </c:extLst>
        </c:ser>
        <c:dLbls>
          <c:showLegendKey val="0"/>
          <c:showVal val="0"/>
          <c:showCatName val="0"/>
          <c:showSerName val="0"/>
          <c:showPercent val="0"/>
          <c:showBubbleSize val="0"/>
        </c:dLbls>
        <c:gapWidth val="219"/>
        <c:overlap val="-27"/>
        <c:axId val="455658872"/>
        <c:axId val="455660512"/>
      </c:barChart>
      <c:catAx>
        <c:axId val="45565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5660512"/>
        <c:crosses val="autoZero"/>
        <c:auto val="1"/>
        <c:lblAlgn val="ctr"/>
        <c:lblOffset val="100"/>
        <c:noMultiLvlLbl val="0"/>
      </c:catAx>
      <c:valAx>
        <c:axId val="455660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56588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47624</xdr:rowOff>
    </xdr:from>
    <xdr:to>
      <xdr:col>2</xdr:col>
      <xdr:colOff>468317</xdr:colOff>
      <xdr:row>4</xdr:row>
      <xdr:rowOff>0</xdr:rowOff>
    </xdr:to>
    <xdr:pic>
      <xdr:nvPicPr>
        <xdr:cNvPr id="2" name="Image 1"/>
        <xdr:cNvPicPr>
          <a:picLocks noChangeAspect="1"/>
        </xdr:cNvPicPr>
      </xdr:nvPicPr>
      <xdr:blipFill>
        <a:blip xmlns:r="http://schemas.openxmlformats.org/officeDocument/2006/relationships" r:embed="rId1"/>
        <a:stretch>
          <a:fillRect/>
        </a:stretch>
      </xdr:blipFill>
      <xdr:spPr>
        <a:xfrm>
          <a:off x="238125" y="47624"/>
          <a:ext cx="1992317" cy="904876"/>
        </a:xfrm>
        <a:prstGeom prst="rect">
          <a:avLst/>
        </a:prstGeom>
      </xdr:spPr>
    </xdr:pic>
    <xdr:clientData/>
  </xdr:twoCellAnchor>
  <xdr:twoCellAnchor editAs="oneCell">
    <xdr:from>
      <xdr:col>0</xdr:col>
      <xdr:colOff>285750</xdr:colOff>
      <xdr:row>0</xdr:row>
      <xdr:rowOff>47624</xdr:rowOff>
    </xdr:from>
    <xdr:to>
      <xdr:col>2</xdr:col>
      <xdr:colOff>468317</xdr:colOff>
      <xdr:row>4</xdr:row>
      <xdr:rowOff>0</xdr:rowOff>
    </xdr:to>
    <xdr:pic>
      <xdr:nvPicPr>
        <xdr:cNvPr id="3" name="Image 2"/>
        <xdr:cNvPicPr>
          <a:picLocks noChangeAspect="1"/>
        </xdr:cNvPicPr>
      </xdr:nvPicPr>
      <xdr:blipFill>
        <a:blip xmlns:r="http://schemas.openxmlformats.org/officeDocument/2006/relationships" r:embed="rId1"/>
        <a:stretch>
          <a:fillRect/>
        </a:stretch>
      </xdr:blipFill>
      <xdr:spPr>
        <a:xfrm>
          <a:off x="238125" y="47624"/>
          <a:ext cx="1992317" cy="904876"/>
        </a:xfrm>
        <a:prstGeom prst="rect">
          <a:avLst/>
        </a:prstGeom>
      </xdr:spPr>
    </xdr:pic>
    <xdr:clientData/>
  </xdr:twoCellAnchor>
  <xdr:twoCellAnchor editAs="oneCell">
    <xdr:from>
      <xdr:col>0</xdr:col>
      <xdr:colOff>285750</xdr:colOff>
      <xdr:row>0</xdr:row>
      <xdr:rowOff>47624</xdr:rowOff>
    </xdr:from>
    <xdr:to>
      <xdr:col>2</xdr:col>
      <xdr:colOff>468317</xdr:colOff>
      <xdr:row>4</xdr:row>
      <xdr:rowOff>0</xdr:rowOff>
    </xdr:to>
    <xdr:pic>
      <xdr:nvPicPr>
        <xdr:cNvPr id="7" name="Image 6"/>
        <xdr:cNvPicPr>
          <a:picLocks noChangeAspect="1"/>
        </xdr:cNvPicPr>
      </xdr:nvPicPr>
      <xdr:blipFill>
        <a:blip xmlns:r="http://schemas.openxmlformats.org/officeDocument/2006/relationships" r:embed="rId1"/>
        <a:stretch>
          <a:fillRect/>
        </a:stretch>
      </xdr:blipFill>
      <xdr:spPr>
        <a:xfrm>
          <a:off x="238125" y="47624"/>
          <a:ext cx="1992317" cy="904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12</xdr:row>
      <xdr:rowOff>75080</xdr:rowOff>
    </xdr:from>
    <xdr:to>
      <xdr:col>7</xdr:col>
      <xdr:colOff>498074</xdr:colOff>
      <xdr:row>24</xdr:row>
      <xdr:rowOff>57080</xdr:rowOff>
    </xdr:to>
    <xdr:graphicFrame macro="">
      <xdr:nvGraphicFramePr>
        <xdr:cNvPr id="2" name="Graphique 1">
          <a:extLst>
            <a:ext uri="{FF2B5EF4-FFF2-40B4-BE49-F238E27FC236}">
              <a16:creationId xmlns:a16="http://schemas.microsoft.com/office/drawing/2014/main" id="{EC2A9791-8326-4AD8-99B5-084A2F1095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xdr:colOff>
      <xdr:row>26</xdr:row>
      <xdr:rowOff>37540</xdr:rowOff>
    </xdr:from>
    <xdr:to>
      <xdr:col>7</xdr:col>
      <xdr:colOff>498074</xdr:colOff>
      <xdr:row>38</xdr:row>
      <xdr:rowOff>19540</xdr:rowOff>
    </xdr:to>
    <xdr:graphicFrame macro="">
      <xdr:nvGraphicFramePr>
        <xdr:cNvPr id="3" name="Graphique 2">
          <a:extLst>
            <a:ext uri="{FF2B5EF4-FFF2-40B4-BE49-F238E27FC236}">
              <a16:creationId xmlns:a16="http://schemas.microsoft.com/office/drawing/2014/main" id="{7BE588A0-166B-4D9C-9989-BC4C39971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10643</xdr:colOff>
      <xdr:row>12</xdr:row>
      <xdr:rowOff>75080</xdr:rowOff>
    </xdr:from>
    <xdr:to>
      <xdr:col>15</xdr:col>
      <xdr:colOff>22943</xdr:colOff>
      <xdr:row>24</xdr:row>
      <xdr:rowOff>57080</xdr:rowOff>
    </xdr:to>
    <xdr:graphicFrame macro="">
      <xdr:nvGraphicFramePr>
        <xdr:cNvPr id="4" name="Graphique 3">
          <a:extLst>
            <a:ext uri="{FF2B5EF4-FFF2-40B4-BE49-F238E27FC236}">
              <a16:creationId xmlns:a16="http://schemas.microsoft.com/office/drawing/2014/main" id="{4682B6A7-B2E2-45D1-BFA8-EE1186CA0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10643</xdr:colOff>
      <xdr:row>26</xdr:row>
      <xdr:rowOff>37540</xdr:rowOff>
    </xdr:from>
    <xdr:to>
      <xdr:col>15</xdr:col>
      <xdr:colOff>22943</xdr:colOff>
      <xdr:row>38</xdr:row>
      <xdr:rowOff>19540</xdr:rowOff>
    </xdr:to>
    <xdr:graphicFrame macro="">
      <xdr:nvGraphicFramePr>
        <xdr:cNvPr id="5" name="Graphique 4">
          <a:extLst>
            <a:ext uri="{FF2B5EF4-FFF2-40B4-BE49-F238E27FC236}">
              <a16:creationId xmlns:a16="http://schemas.microsoft.com/office/drawing/2014/main" id="{765D85DB-341F-404E-B1F5-D7A71565A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19049</xdr:colOff>
      <xdr:row>46</xdr:row>
      <xdr:rowOff>56591</xdr:rowOff>
    </xdr:from>
    <xdr:to>
      <xdr:col>7</xdr:col>
      <xdr:colOff>498074</xdr:colOff>
      <xdr:row>58</xdr:row>
      <xdr:rowOff>38591</xdr:rowOff>
    </xdr:to>
    <xdr:graphicFrame macro="">
      <xdr:nvGraphicFramePr>
        <xdr:cNvPr id="6" name="Graphique 5">
          <a:extLst>
            <a:ext uri="{FF2B5EF4-FFF2-40B4-BE49-F238E27FC236}">
              <a16:creationId xmlns:a16="http://schemas.microsoft.com/office/drawing/2014/main" id="{08BB8B60-9EA5-4A0E-84E3-15FFD1156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10643</xdr:colOff>
      <xdr:row>46</xdr:row>
      <xdr:rowOff>56591</xdr:rowOff>
    </xdr:from>
    <xdr:to>
      <xdr:col>15</xdr:col>
      <xdr:colOff>22943</xdr:colOff>
      <xdr:row>58</xdr:row>
      <xdr:rowOff>38591</xdr:rowOff>
    </xdr:to>
    <xdr:graphicFrame macro="">
      <xdr:nvGraphicFramePr>
        <xdr:cNvPr id="7" name="Graphique 6">
          <a:extLst>
            <a:ext uri="{FF2B5EF4-FFF2-40B4-BE49-F238E27FC236}">
              <a16:creationId xmlns:a16="http://schemas.microsoft.com/office/drawing/2014/main" id="{03B32119-7A85-4A79-AB8C-F6D0A5C51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63</xdr:row>
      <xdr:rowOff>28016</xdr:rowOff>
    </xdr:from>
    <xdr:to>
      <xdr:col>7</xdr:col>
      <xdr:colOff>498074</xdr:colOff>
      <xdr:row>75</xdr:row>
      <xdr:rowOff>10016</xdr:rowOff>
    </xdr:to>
    <xdr:graphicFrame macro="">
      <xdr:nvGraphicFramePr>
        <xdr:cNvPr id="10" name="Graphique 9">
          <a:extLst>
            <a:ext uri="{FF2B5EF4-FFF2-40B4-BE49-F238E27FC236}">
              <a16:creationId xmlns:a16="http://schemas.microsoft.com/office/drawing/2014/main" id="{35C4F29B-2A79-457C-8CCE-7D4C78998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10643</xdr:colOff>
      <xdr:row>63</xdr:row>
      <xdr:rowOff>28016</xdr:rowOff>
    </xdr:from>
    <xdr:to>
      <xdr:col>15</xdr:col>
      <xdr:colOff>22943</xdr:colOff>
      <xdr:row>75</xdr:row>
      <xdr:rowOff>10016</xdr:rowOff>
    </xdr:to>
    <xdr:graphicFrame macro="">
      <xdr:nvGraphicFramePr>
        <xdr:cNvPr id="11" name="Graphique 10">
          <a:extLst>
            <a:ext uri="{FF2B5EF4-FFF2-40B4-BE49-F238E27FC236}">
              <a16:creationId xmlns:a16="http://schemas.microsoft.com/office/drawing/2014/main" id="{D344B2FD-FAB8-4A8D-9234-88621DA0E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74838</xdr:colOff>
      <xdr:row>40</xdr:row>
      <xdr:rowOff>57150</xdr:rowOff>
    </xdr:from>
    <xdr:to>
      <xdr:col>7</xdr:col>
      <xdr:colOff>1000123</xdr:colOff>
      <xdr:row>54</xdr:row>
      <xdr:rowOff>133350</xdr:rowOff>
    </xdr:to>
    <xdr:graphicFrame macro="">
      <xdr:nvGraphicFramePr>
        <xdr:cNvPr id="2" name="Graphique 1">
          <a:extLst>
            <a:ext uri="{FF2B5EF4-FFF2-40B4-BE49-F238E27FC236}">
              <a16:creationId xmlns:a16="http://schemas.microsoft.com/office/drawing/2014/main" id="{D4C18B43-D8C4-445F-9444-D0CD7E62E2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57</xdr:row>
      <xdr:rowOff>166008</xdr:rowOff>
    </xdr:from>
    <xdr:to>
      <xdr:col>7</xdr:col>
      <xdr:colOff>972910</xdr:colOff>
      <xdr:row>72</xdr:row>
      <xdr:rowOff>38101</xdr:rowOff>
    </xdr:to>
    <xdr:graphicFrame macro="">
      <xdr:nvGraphicFramePr>
        <xdr:cNvPr id="3" name="Graphique 2">
          <a:extLst>
            <a:ext uri="{FF2B5EF4-FFF2-40B4-BE49-F238E27FC236}">
              <a16:creationId xmlns:a16="http://schemas.microsoft.com/office/drawing/2014/main" id="{8A24576B-D112-443E-869A-090FA2AFF1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5" name="Tableau11" displayName="Tableau11" ref="Y15:Z27" totalsRowShown="0" headerRowDxfId="1" dataDxfId="0" headerRowCellStyle="Accent5">
  <autoFilter ref="Y15:Z27"/>
  <tableColumns count="2">
    <tableColumn id="1" name="poids avant extrusion non comestible" dataDxfId="3">
      <calculatedColumnFormula>SUM(Y2:Y15)/COUNTA(Y2:Y15)</calculatedColumnFormula>
    </tableColumn>
    <tableColumn id="2" name="poids après extrusion non comestible" dataDxfId="2">
      <calculatedColumnFormula>SUM(#REF!)/COUNTA(#REF!)</calculatedColumnFormula>
    </tableColumn>
  </tableColumns>
  <tableStyleInfo name="TableStyleLight13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ptigede.ademe.fr/alimentation-durable-producteurs-IAA-distributeurs" TargetMode="External"/><Relationship Id="rId1" Type="http://schemas.openxmlformats.org/officeDocument/2006/relationships/hyperlink" Target="https://www.legifrance.gouv.fr/affichTexte.do?cidTexte=JORFTEXT000041553759&amp;categorieLien=i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olab.ademe.fr/agribalyse" TargetMode="External"/><Relationship Id="rId1" Type="http://schemas.openxmlformats.org/officeDocument/2006/relationships/hyperlink" Target="https://www.bilans-ges.ademe.fr/fr/accueil/authen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olab.ademe.fr/agribalyse" TargetMode="External"/><Relationship Id="rId1" Type="http://schemas.openxmlformats.org/officeDocument/2006/relationships/hyperlink" Target="https://www.bilans-ges.ademe.fr/fr/accueil/authentification"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20"/>
  <sheetViews>
    <sheetView showGridLines="0" tabSelected="1" showRuler="0" showWhiteSpace="0" zoomScaleNormal="100" workbookViewId="0"/>
  </sheetViews>
  <sheetFormatPr baseColWidth="10" defaultRowHeight="15" x14ac:dyDescent="0.25"/>
  <cols>
    <col min="1" max="1" width="3.5703125" style="47" customWidth="1"/>
    <col min="2" max="2" width="22.85546875" style="47" customWidth="1"/>
    <col min="3" max="15" width="11.42578125" style="47"/>
    <col min="16" max="16" width="13.140625" style="47" customWidth="1"/>
    <col min="17" max="17" width="17.42578125" style="47" bestFit="1" customWidth="1"/>
    <col min="18" max="18" width="41.28515625" style="47" customWidth="1"/>
    <col min="19" max="16384" width="11.42578125" style="47"/>
  </cols>
  <sheetData>
    <row r="1" spans="1:18" ht="24" thickBot="1" x14ac:dyDescent="0.4">
      <c r="E1" s="136" t="s">
        <v>672</v>
      </c>
      <c r="F1" s="137"/>
      <c r="G1" s="137"/>
      <c r="H1" s="137"/>
      <c r="I1" s="137"/>
      <c r="J1" s="137"/>
      <c r="K1" s="137"/>
      <c r="L1" s="137"/>
      <c r="M1" s="137"/>
      <c r="N1" s="137"/>
      <c r="O1" s="137"/>
      <c r="P1" s="137"/>
      <c r="Q1" s="138"/>
    </row>
    <row r="2" spans="1:18" ht="15.75" thickBot="1" x14ac:dyDescent="0.3"/>
    <row r="3" spans="1:18" ht="19.5" thickBot="1" x14ac:dyDescent="0.35">
      <c r="E3" s="139" t="s">
        <v>673</v>
      </c>
      <c r="F3" s="140"/>
      <c r="G3" s="140"/>
      <c r="H3" s="140"/>
      <c r="I3" s="140"/>
      <c r="J3" s="141"/>
    </row>
    <row r="4" spans="1:18" ht="15.75" thickBot="1" x14ac:dyDescent="0.3"/>
    <row r="5" spans="1:18" ht="15" customHeight="1" x14ac:dyDescent="0.25">
      <c r="B5" s="48"/>
      <c r="D5" s="142" t="s">
        <v>809</v>
      </c>
      <c r="E5" s="143"/>
      <c r="F5" s="143"/>
      <c r="G5" s="143"/>
      <c r="H5" s="143"/>
      <c r="I5" s="143"/>
      <c r="J5" s="143"/>
      <c r="K5" s="143"/>
      <c r="L5" s="143"/>
      <c r="M5" s="143"/>
      <c r="N5" s="143"/>
      <c r="O5" s="143"/>
      <c r="P5" s="143"/>
      <c r="Q5" s="144"/>
    </row>
    <row r="6" spans="1:18" x14ac:dyDescent="0.25">
      <c r="D6" s="145"/>
      <c r="E6" s="146"/>
      <c r="F6" s="146"/>
      <c r="G6" s="146"/>
      <c r="H6" s="146"/>
      <c r="I6" s="146"/>
      <c r="J6" s="146"/>
      <c r="K6" s="146"/>
      <c r="L6" s="146"/>
      <c r="M6" s="146"/>
      <c r="N6" s="146"/>
      <c r="O6" s="146"/>
      <c r="P6" s="146"/>
      <c r="Q6" s="147"/>
    </row>
    <row r="7" spans="1:18" x14ac:dyDescent="0.25">
      <c r="A7" s="47" t="s">
        <v>674</v>
      </c>
      <c r="B7" s="49" t="s">
        <v>675</v>
      </c>
      <c r="D7" s="145"/>
      <c r="E7" s="146"/>
      <c r="F7" s="146"/>
      <c r="G7" s="146"/>
      <c r="H7" s="146"/>
      <c r="I7" s="146"/>
      <c r="J7" s="146"/>
      <c r="K7" s="146"/>
      <c r="L7" s="146"/>
      <c r="M7" s="146"/>
      <c r="N7" s="146"/>
      <c r="O7" s="146"/>
      <c r="P7" s="146"/>
      <c r="Q7" s="147"/>
    </row>
    <row r="8" spans="1:18" x14ac:dyDescent="0.25">
      <c r="B8" s="50" t="s">
        <v>676</v>
      </c>
      <c r="C8" s="47" t="s">
        <v>40</v>
      </c>
      <c r="D8" s="145"/>
      <c r="E8" s="146"/>
      <c r="F8" s="146"/>
      <c r="G8" s="146"/>
      <c r="H8" s="146"/>
      <c r="I8" s="146"/>
      <c r="J8" s="146"/>
      <c r="K8" s="146"/>
      <c r="L8" s="146"/>
      <c r="M8" s="146"/>
      <c r="N8" s="146"/>
      <c r="O8" s="146"/>
      <c r="P8" s="146"/>
      <c r="Q8" s="147"/>
    </row>
    <row r="9" spans="1:18" x14ac:dyDescent="0.25">
      <c r="D9" s="145"/>
      <c r="E9" s="146"/>
      <c r="F9" s="146"/>
      <c r="G9" s="146"/>
      <c r="H9" s="146"/>
      <c r="I9" s="146"/>
      <c r="J9" s="146"/>
      <c r="K9" s="146"/>
      <c r="L9" s="146"/>
      <c r="M9" s="146"/>
      <c r="N9" s="146"/>
      <c r="O9" s="146"/>
      <c r="P9" s="146"/>
      <c r="Q9" s="147"/>
    </row>
    <row r="10" spans="1:18" x14ac:dyDescent="0.25">
      <c r="A10" s="47" t="s">
        <v>677</v>
      </c>
      <c r="B10" s="51" t="s">
        <v>678</v>
      </c>
      <c r="D10" s="145"/>
      <c r="E10" s="146"/>
      <c r="F10" s="146"/>
      <c r="G10" s="146"/>
      <c r="H10" s="146"/>
      <c r="I10" s="146"/>
      <c r="J10" s="146"/>
      <c r="K10" s="146"/>
      <c r="L10" s="146"/>
      <c r="M10" s="146"/>
      <c r="N10" s="146"/>
      <c r="O10" s="146"/>
      <c r="P10" s="146"/>
      <c r="Q10" s="147"/>
    </row>
    <row r="11" spans="1:18" ht="47.25" customHeight="1" x14ac:dyDescent="0.25">
      <c r="B11" s="52" t="s">
        <v>679</v>
      </c>
      <c r="C11" s="47" t="s">
        <v>40</v>
      </c>
      <c r="D11" s="145"/>
      <c r="E11" s="146"/>
      <c r="F11" s="146"/>
      <c r="G11" s="146"/>
      <c r="H11" s="146"/>
      <c r="I11" s="146"/>
      <c r="J11" s="146"/>
      <c r="K11" s="146"/>
      <c r="L11" s="146"/>
      <c r="M11" s="146"/>
      <c r="N11" s="146"/>
      <c r="O11" s="146"/>
      <c r="P11" s="146"/>
      <c r="Q11" s="147"/>
    </row>
    <row r="12" spans="1:18" ht="15.75" customHeight="1" thickBot="1" x14ac:dyDescent="0.3">
      <c r="B12" s="53" t="s">
        <v>680</v>
      </c>
      <c r="D12" s="148"/>
      <c r="E12" s="149"/>
      <c r="F12" s="149"/>
      <c r="G12" s="149"/>
      <c r="H12" s="149"/>
      <c r="I12" s="149"/>
      <c r="J12" s="149"/>
      <c r="K12" s="149"/>
      <c r="L12" s="149"/>
      <c r="M12" s="149"/>
      <c r="N12" s="149"/>
      <c r="O12" s="149"/>
      <c r="P12" s="149"/>
      <c r="Q12" s="150"/>
    </row>
    <row r="13" spans="1:18" ht="15.75" thickBot="1" x14ac:dyDescent="0.3"/>
    <row r="14" spans="1:18" ht="30" customHeight="1" x14ac:dyDescent="0.25">
      <c r="C14" s="54"/>
      <c r="D14" s="151" t="s">
        <v>681</v>
      </c>
      <c r="E14" s="151"/>
      <c r="F14" s="151"/>
      <c r="G14" s="151" t="s">
        <v>682</v>
      </c>
      <c r="H14" s="151"/>
      <c r="I14" s="151"/>
      <c r="J14" s="151" t="s">
        <v>683</v>
      </c>
      <c r="K14" s="151"/>
      <c r="L14" s="151"/>
      <c r="M14" s="152" t="s">
        <v>684</v>
      </c>
      <c r="N14" s="152"/>
      <c r="O14" s="152"/>
      <c r="P14" s="152"/>
      <c r="Q14" s="55" t="s">
        <v>685</v>
      </c>
    </row>
    <row r="15" spans="1:18" ht="108.75" customHeight="1" thickBot="1" x14ac:dyDescent="0.3">
      <c r="C15" s="56" t="s">
        <v>686</v>
      </c>
      <c r="D15" s="154" t="s">
        <v>805</v>
      </c>
      <c r="E15" s="154"/>
      <c r="F15" s="154"/>
      <c r="G15" s="154" t="s">
        <v>806</v>
      </c>
      <c r="H15" s="154"/>
      <c r="I15" s="154"/>
      <c r="J15" s="154" t="s">
        <v>808</v>
      </c>
      <c r="K15" s="154"/>
      <c r="L15" s="154"/>
      <c r="M15" s="154" t="s">
        <v>807</v>
      </c>
      <c r="N15" s="154"/>
      <c r="O15" s="154"/>
      <c r="P15" s="154"/>
      <c r="Q15" s="57" t="s">
        <v>687</v>
      </c>
    </row>
    <row r="16" spans="1:18" ht="114.75" customHeight="1" thickBot="1" x14ac:dyDescent="0.3">
      <c r="C16" s="56" t="s">
        <v>688</v>
      </c>
      <c r="D16" s="155" t="s">
        <v>702</v>
      </c>
      <c r="E16" s="156"/>
      <c r="F16" s="156"/>
      <c r="G16" s="155" t="s">
        <v>703</v>
      </c>
      <c r="H16" s="156"/>
      <c r="I16" s="156"/>
      <c r="J16" s="155" t="s">
        <v>704</v>
      </c>
      <c r="K16" s="156"/>
      <c r="L16" s="156"/>
      <c r="M16" s="155" t="s">
        <v>705</v>
      </c>
      <c r="N16" s="156"/>
      <c r="O16" s="156"/>
      <c r="P16" s="156"/>
      <c r="Q16" s="58" t="s">
        <v>689</v>
      </c>
      <c r="R16" s="59"/>
    </row>
    <row r="17" spans="3:18" ht="112.5" customHeight="1" thickBot="1" x14ac:dyDescent="0.3">
      <c r="C17" s="60" t="s">
        <v>690</v>
      </c>
      <c r="D17" s="157" t="s">
        <v>810</v>
      </c>
      <c r="E17" s="158"/>
      <c r="F17" s="158"/>
      <c r="G17" s="157" t="s">
        <v>811</v>
      </c>
      <c r="H17" s="158"/>
      <c r="I17" s="158"/>
      <c r="J17" s="157" t="s">
        <v>812</v>
      </c>
      <c r="K17" s="158"/>
      <c r="L17" s="158"/>
      <c r="M17" s="159" t="s">
        <v>813</v>
      </c>
      <c r="N17" s="158"/>
      <c r="O17" s="158"/>
      <c r="P17" s="158"/>
      <c r="Q17" s="61" t="s">
        <v>714</v>
      </c>
      <c r="R17" s="59"/>
    </row>
    <row r="18" spans="3:18" ht="15.75" thickBot="1" x14ac:dyDescent="0.3"/>
    <row r="19" spans="3:18" x14ac:dyDescent="0.25">
      <c r="C19" s="160" t="s">
        <v>691</v>
      </c>
      <c r="D19" s="161"/>
      <c r="E19" s="161"/>
      <c r="F19" s="161"/>
      <c r="G19" s="161"/>
      <c r="H19" s="161"/>
      <c r="I19" s="161"/>
      <c r="J19" s="161"/>
      <c r="K19" s="161"/>
      <c r="L19" s="161"/>
      <c r="M19" s="161"/>
      <c r="N19" s="161"/>
      <c r="O19" s="161"/>
      <c r="P19" s="161"/>
      <c r="Q19" s="162"/>
    </row>
    <row r="20" spans="3:18" ht="15" customHeight="1" x14ac:dyDescent="0.25">
      <c r="C20" s="153" t="s">
        <v>692</v>
      </c>
      <c r="D20" s="153"/>
      <c r="E20" s="153"/>
      <c r="F20" s="153"/>
      <c r="G20" s="153"/>
      <c r="H20" s="153"/>
      <c r="I20" s="153"/>
      <c r="J20" s="153"/>
      <c r="K20" s="153"/>
      <c r="L20" s="153"/>
      <c r="M20" s="153"/>
      <c r="N20" s="153"/>
      <c r="O20" s="153"/>
      <c r="P20" s="153"/>
      <c r="Q20" s="153"/>
    </row>
  </sheetData>
  <sheetProtection algorithmName="SHA-512" hashValue="EJJyDVZXFHXwP8TSoOcuR+IxLI5ZEB94YyTxxur5Ehz5yJg34HXg1MA5vwZQpR4JZlpxywmh1xvlMBx06Gqd6A==" saltValue="+PDgCGFtrdk5pzutAI4Dag==" spinCount="100000" sheet="1" objects="1" scenarios="1"/>
  <mergeCells count="21">
    <mergeCell ref="C20:Q20"/>
    <mergeCell ref="D15:F15"/>
    <mergeCell ref="G15:I15"/>
    <mergeCell ref="J15:L15"/>
    <mergeCell ref="M15:P15"/>
    <mergeCell ref="D16:F16"/>
    <mergeCell ref="G16:I16"/>
    <mergeCell ref="J16:L16"/>
    <mergeCell ref="M16:P16"/>
    <mergeCell ref="D17:F17"/>
    <mergeCell ref="G17:I17"/>
    <mergeCell ref="J17:L17"/>
    <mergeCell ref="M17:P17"/>
    <mergeCell ref="C19:Q19"/>
    <mergeCell ref="E1:Q1"/>
    <mergeCell ref="E3:J3"/>
    <mergeCell ref="D5:Q12"/>
    <mergeCell ref="D14:F14"/>
    <mergeCell ref="G14:I14"/>
    <mergeCell ref="J14:L14"/>
    <mergeCell ref="M14:P14"/>
  </mergeCells>
  <hyperlinks>
    <hyperlink ref="B8" r:id="rId1"/>
    <hyperlink ref="B12" r:id="rId2"/>
  </hyperlinks>
  <pageMargins left="0.70866141732283472" right="0.70866141732283472" top="0.74803149606299213" bottom="0.74803149606299213" header="0.31496062992125984" footer="0.31496062992125984"/>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F131"/>
  <sheetViews>
    <sheetView showGridLines="0" zoomScaleNormal="100" workbookViewId="0"/>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0.28515625" style="386" bestFit="1" customWidth="1"/>
    <col min="17" max="17" width="6.28515625" style="386" customWidth="1"/>
    <col min="18" max="18" width="1.140625" style="386" customWidth="1"/>
    <col min="19" max="19" width="9.42578125" style="386" customWidth="1"/>
    <col min="20" max="20" width="6.28515625" style="386" customWidth="1"/>
    <col min="21" max="21" width="12.7109375" style="386" bestFit="1" customWidth="1"/>
    <col min="22" max="22" width="6.28515625" style="386" customWidth="1"/>
    <col min="23" max="23" width="1.140625" style="386" customWidth="1"/>
    <col min="24" max="24" width="12.7109375" style="386" bestFit="1" customWidth="1"/>
    <col min="25" max="25" width="6.28515625" style="386" customWidth="1"/>
    <col min="26" max="26" width="9.42578125" style="386" customWidth="1"/>
    <col min="27" max="27" width="6.28515625" style="386" customWidth="1"/>
    <col min="28" max="28" width="1.140625" style="386" customWidth="1"/>
    <col min="29" max="29" width="12.7109375" style="386" customWidth="1"/>
    <col min="30" max="30" width="6.42578125" style="386" customWidth="1"/>
    <col min="31" max="31" width="2.140625" style="386" customWidth="1"/>
    <col min="32" max="32" width="9.42578125" style="386" customWidth="1"/>
    <col min="33" max="33" width="12.140625" style="386" customWidth="1"/>
    <col min="34" max="34" width="9.42578125" style="386" customWidth="1"/>
    <col min="35" max="35" width="6.28515625" style="386" customWidth="1"/>
    <col min="36" max="36" width="1.140625" style="386" customWidth="1"/>
    <col min="37" max="37" width="9.42578125" style="386" customWidth="1"/>
    <col min="38" max="38" width="12.140625" style="386" customWidth="1"/>
    <col min="39" max="39" width="9.42578125" style="386" customWidth="1"/>
    <col min="40" max="40" width="6.28515625" style="386" customWidth="1"/>
    <col min="41" max="41" width="1.140625" style="386" customWidth="1"/>
    <col min="42" max="42" width="9.42578125" style="386" customWidth="1"/>
    <col min="43" max="43" width="6.28515625" style="386" customWidth="1"/>
    <col min="44" max="44" width="9.42578125" style="386" customWidth="1"/>
    <col min="45" max="45" width="12.140625" style="386" customWidth="1"/>
    <col min="46" max="46" width="1.140625" style="386" customWidth="1"/>
    <col min="47" max="47" width="9.42578125" style="386" customWidth="1"/>
    <col min="48" max="48" width="6.28515625" style="386" customWidth="1"/>
    <col min="49" max="49" width="2.140625" style="386" customWidth="1"/>
    <col min="50" max="50" width="9.42578125" style="386" customWidth="1"/>
    <col min="51" max="51" width="6.28515625" style="386" customWidth="1"/>
    <col min="52" max="52" width="9.42578125" style="386" customWidth="1"/>
    <col min="53" max="53" width="6.28515625" style="386" customWidth="1"/>
    <col min="54" max="54" width="9.42578125" style="386" customWidth="1"/>
    <col min="55" max="55" width="6.7109375" style="386" bestFit="1" customWidth="1"/>
    <col min="56" max="56" width="2.140625" style="386" customWidth="1"/>
    <col min="57" max="57" width="9.42578125" style="386" customWidth="1"/>
    <col min="58" max="58" width="12.140625" style="386" customWidth="1"/>
    <col min="59" max="59" width="9.42578125" style="386" customWidth="1"/>
    <col min="60" max="60" width="6.28515625" style="386" customWidth="1"/>
    <col min="61" max="61" width="9.42578125" style="386" customWidth="1"/>
    <col min="62" max="62" width="6.28515625" style="386" customWidth="1"/>
    <col min="63" max="63" width="9.42578125" style="386" customWidth="1"/>
    <col min="64" max="64" width="6.28515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9.42578125" style="386" customWidth="1"/>
    <col min="75" max="75" width="12" style="386" customWidth="1"/>
    <col min="76" max="76" width="9.42578125" style="386" customWidth="1"/>
    <col min="77" max="77" width="6.28515625" style="386" customWidth="1"/>
    <col min="78" max="78" width="9.42578125" style="386" customWidth="1"/>
    <col min="79" max="79" width="6.28515625" style="386" customWidth="1"/>
    <col min="80" max="80" width="2.140625" style="386" customWidth="1"/>
    <col min="81" max="81" width="9.42578125" style="386" customWidth="1"/>
    <col min="82" max="82" width="6.28515625" style="386" customWidth="1"/>
    <col min="83" max="83" width="9.42578125" style="386" customWidth="1"/>
    <col min="84" max="84" width="8.42578125" style="386" customWidth="1"/>
    <col min="85" max="85" width="9.42578125" style="386" customWidth="1"/>
    <col min="86" max="86" width="6.28515625" style="386" customWidth="1"/>
    <col min="87" max="87" width="9.42578125" style="386" customWidth="1"/>
    <col min="88" max="88" width="6.28515625" style="386" customWidth="1"/>
    <col min="89" max="89" width="2.140625" style="386" customWidth="1"/>
    <col min="90" max="90" width="18.7109375" style="386" customWidth="1"/>
    <col min="91" max="91" width="9.42578125" style="386" customWidth="1"/>
    <col min="92" max="92" width="6.28515625" style="386" customWidth="1"/>
    <col min="93" max="93" width="9.42578125" style="386" customWidth="1"/>
    <col min="94" max="94" width="9" style="386" customWidth="1"/>
    <col min="95" max="95" width="9.42578125" style="386" customWidth="1"/>
    <col min="96" max="96" width="6.28515625" style="386" customWidth="1"/>
    <col min="97" max="97" width="9.42578125" style="386" customWidth="1"/>
    <col min="98" max="98" width="6.28515625" style="386" customWidth="1"/>
    <col min="99" max="99" width="2.140625" style="386" customWidth="1"/>
    <col min="100" max="100" width="18.7109375" style="386" customWidth="1"/>
    <col min="101" max="101" width="9.42578125" style="386" customWidth="1"/>
    <col min="102" max="102" width="6.28515625" style="386" customWidth="1"/>
    <col min="103" max="103" width="9.42578125" style="386" customWidth="1"/>
    <col min="104" max="104" width="6.42578125" style="386" customWidth="1"/>
    <col min="105" max="105" width="9.42578125" style="386" customWidth="1"/>
    <col min="106" max="106" width="6.28515625" style="386" customWidth="1"/>
    <col min="107" max="107" width="9.42578125" style="386" customWidth="1"/>
    <col min="108" max="108" width="6.42578125" style="386" customWidth="1"/>
    <col min="109" max="109" width="9.42578125" style="386" customWidth="1"/>
    <col min="110" max="110" width="6.42578125" style="386" customWidth="1"/>
    <col min="111" max="111" width="2.140625" style="386" customWidth="1"/>
    <col min="112" max="112" width="12.85546875" style="386" customWidth="1"/>
    <col min="113" max="113" width="9.42578125" style="386" customWidth="1"/>
    <col min="114" max="114" width="8.28515625" style="386" customWidth="1"/>
    <col min="115" max="115" width="18.7109375" style="386" customWidth="1"/>
    <col min="116" max="116" width="9.42578125" style="386" customWidth="1"/>
    <col min="117" max="117" width="8.28515625" style="386" customWidth="1"/>
    <col min="118" max="118" width="9.42578125" style="386" customWidth="1"/>
    <col min="119" max="119" width="8.28515625" style="386" customWidth="1"/>
    <col min="120" max="120" width="9.42578125" style="386" customWidth="1"/>
    <col min="121" max="121" width="6.28515625" style="386" customWidth="1"/>
    <col min="122" max="122" width="9.42578125" style="386" customWidth="1"/>
    <col min="123" max="123" width="6.28515625" style="386" customWidth="1"/>
    <col min="124" max="124" width="2.140625" style="386" customWidth="1"/>
    <col min="125" max="125" width="18.7109375" style="386" customWidth="1"/>
    <col min="126" max="126" width="9.42578125" style="386" customWidth="1"/>
    <col min="127" max="127" width="6.28515625" style="386" customWidth="1"/>
    <col min="128" max="128" width="9.42578125" style="386" customWidth="1"/>
    <col min="129" max="129" width="6.28515625" style="386" customWidth="1"/>
    <col min="130" max="130" width="9.42578125" style="386" customWidth="1"/>
    <col min="131" max="131" width="6.28515625" style="386" customWidth="1"/>
    <col min="132" max="132" width="2.140625" style="386" customWidth="1"/>
    <col min="133" max="133" width="9.42578125" style="386" customWidth="1"/>
    <col min="134" max="134" width="12" style="386" customWidth="1"/>
    <col min="135" max="135" width="9.42578125" style="386" customWidth="1"/>
    <col min="136" max="136" width="6.28515625" style="386" customWidth="1"/>
    <col min="137" max="16384" width="11.42578125" style="386"/>
  </cols>
  <sheetData>
    <row r="1" spans="1:136" ht="24" thickBot="1" x14ac:dyDescent="0.4">
      <c r="A1" s="385"/>
      <c r="B1" s="178" t="s">
        <v>723</v>
      </c>
      <c r="C1" s="179"/>
      <c r="D1" s="179"/>
      <c r="E1" s="179"/>
      <c r="F1" s="179"/>
      <c r="G1" s="180"/>
    </row>
    <row r="2" spans="1:136" ht="67.5" customHeight="1" x14ac:dyDescent="0.25">
      <c r="B2" s="387" t="s">
        <v>426</v>
      </c>
      <c r="C2" s="387"/>
      <c r="D2" s="387"/>
      <c r="E2" s="387"/>
      <c r="F2" s="387"/>
      <c r="G2" s="387"/>
      <c r="H2" s="387"/>
      <c r="I2" s="387"/>
      <c r="J2" s="387"/>
      <c r="K2" s="387"/>
      <c r="L2" s="387"/>
      <c r="M2" s="387"/>
      <c r="N2" s="254" t="s">
        <v>721</v>
      </c>
      <c r="O2" s="255"/>
      <c r="P2" s="255"/>
      <c r="Q2" s="255"/>
      <c r="R2" s="255"/>
      <c r="S2" s="255"/>
      <c r="T2" s="255"/>
      <c r="U2" s="255"/>
      <c r="V2" s="255"/>
      <c r="W2" s="255"/>
      <c r="X2" s="255"/>
      <c r="Y2" s="255"/>
      <c r="Z2" s="256"/>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136" x14ac:dyDescent="0.25">
      <c r="A3" s="388"/>
      <c r="B3" s="498"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88"/>
      <c r="AH3" s="388"/>
      <c r="AI3" s="388"/>
      <c r="AJ3" s="388"/>
      <c r="AK3" s="388"/>
      <c r="AL3" s="388"/>
      <c r="AM3" s="388"/>
      <c r="AN3" s="388"/>
      <c r="AO3" s="388"/>
      <c r="AP3" s="388"/>
      <c r="AQ3" s="388"/>
      <c r="AR3" s="388"/>
      <c r="AS3" s="388"/>
      <c r="AT3" s="388"/>
      <c r="AU3" s="388"/>
      <c r="AV3" s="388"/>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row>
    <row r="4" spans="1:136" ht="24.75" customHeight="1" thickBot="1" x14ac:dyDescent="0.3">
      <c r="B4" s="390"/>
      <c r="C4" s="391"/>
      <c r="D4" s="391"/>
      <c r="E4" s="391"/>
      <c r="F4" s="391"/>
      <c r="G4" s="391"/>
      <c r="H4" s="391"/>
      <c r="I4" s="391"/>
      <c r="J4" s="391"/>
      <c r="K4" s="391"/>
      <c r="L4" s="392"/>
      <c r="M4" s="393"/>
      <c r="N4" s="275"/>
      <c r="O4" s="276"/>
      <c r="P4" s="276"/>
      <c r="Q4" s="276"/>
      <c r="R4" s="276"/>
      <c r="S4" s="276"/>
      <c r="T4" s="276"/>
      <c r="U4" s="276"/>
      <c r="V4" s="276"/>
      <c r="W4" s="276"/>
      <c r="X4" s="276"/>
      <c r="Y4" s="276"/>
      <c r="Z4" s="277"/>
      <c r="AA4" s="393"/>
      <c r="AB4" s="393"/>
      <c r="AC4" s="393"/>
      <c r="AD4" s="393"/>
      <c r="AE4" s="393"/>
    </row>
    <row r="5" spans="1:136" ht="15.75" thickBot="1" x14ac:dyDescent="0.3">
      <c r="A5" s="388"/>
      <c r="AC5" s="388"/>
      <c r="AD5" s="388"/>
      <c r="AE5" s="388"/>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342"/>
    </row>
    <row r="6" spans="1:136" ht="30" customHeight="1" thickBot="1" x14ac:dyDescent="0.3">
      <c r="A6" s="388"/>
      <c r="B6" s="499" t="s">
        <v>70</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1"/>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c r="DQ6" s="342"/>
      <c r="DR6" s="342"/>
      <c r="DS6" s="342"/>
      <c r="DT6" s="342"/>
      <c r="DU6" s="342"/>
      <c r="DV6" s="342"/>
      <c r="DW6" s="342"/>
      <c r="DX6" s="342"/>
      <c r="DY6" s="342"/>
      <c r="DZ6" s="342"/>
      <c r="EA6" s="342"/>
      <c r="EB6" s="342"/>
      <c r="EC6" s="342"/>
      <c r="ED6" s="342"/>
      <c r="EE6" s="342"/>
      <c r="EF6" s="342"/>
    </row>
    <row r="7" spans="1:136"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42"/>
      <c r="AX7" s="342"/>
      <c r="AY7" s="398"/>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row>
    <row r="8" spans="1:136" ht="15" customHeight="1" outlineLevel="1" thickBot="1" x14ac:dyDescent="0.3">
      <c r="A8" s="342"/>
      <c r="B8" s="531" t="s">
        <v>712</v>
      </c>
      <c r="C8" s="532"/>
      <c r="D8" s="342"/>
      <c r="E8" s="531" t="s">
        <v>713</v>
      </c>
      <c r="F8" s="533"/>
      <c r="G8" s="533"/>
      <c r="H8" s="533"/>
      <c r="I8" s="533"/>
      <c r="J8" s="532"/>
      <c r="K8" s="342"/>
      <c r="L8" s="342"/>
      <c r="M8" s="342"/>
      <c r="AU8" s="342"/>
      <c r="AV8" s="342"/>
      <c r="AW8" s="342"/>
      <c r="AX8" s="398"/>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342"/>
    </row>
    <row r="9" spans="1:136" ht="66.75" customHeight="1" outlineLevel="1" x14ac:dyDescent="0.25">
      <c r="A9" s="342"/>
      <c r="B9" s="269" t="s">
        <v>562</v>
      </c>
      <c r="C9" s="401"/>
      <c r="D9" s="342"/>
      <c r="E9" s="269" t="s">
        <v>553</v>
      </c>
      <c r="F9" s="270"/>
      <c r="G9" s="422" t="s">
        <v>55</v>
      </c>
      <c r="H9" s="270"/>
      <c r="I9" s="422" t="s">
        <v>56</v>
      </c>
      <c r="J9" s="401"/>
      <c r="M9" s="342"/>
      <c r="N9" s="502" t="s">
        <v>564</v>
      </c>
      <c r="O9" s="503"/>
      <c r="AU9" s="342"/>
      <c r="AV9" s="342"/>
      <c r="AW9" s="342"/>
      <c r="AX9" s="342"/>
      <c r="AY9" s="398"/>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row>
    <row r="10" spans="1:136" ht="16.5" customHeight="1" outlineLevel="1" thickBot="1" x14ac:dyDescent="0.3">
      <c r="A10" s="342"/>
      <c r="B10" s="408">
        <f>C16</f>
        <v>0</v>
      </c>
      <c r="C10" s="409" t="s">
        <v>1</v>
      </c>
      <c r="D10" s="342"/>
      <c r="E10" s="408">
        <f>E16</f>
        <v>0</v>
      </c>
      <c r="F10" s="410" t="s">
        <v>1</v>
      </c>
      <c r="G10" s="411">
        <f>G16</f>
        <v>0</v>
      </c>
      <c r="H10" s="410" t="s">
        <v>1</v>
      </c>
      <c r="I10" s="411">
        <f>E10-G10</f>
        <v>0</v>
      </c>
      <c r="J10" s="409" t="s">
        <v>1</v>
      </c>
      <c r="M10" s="342"/>
      <c r="N10" s="408">
        <f>IF(E10&lt;&gt;0,G10/E10*100,0)</f>
        <v>0</v>
      </c>
      <c r="O10" s="409" t="s">
        <v>2</v>
      </c>
      <c r="S10" s="342"/>
      <c r="AU10" s="342"/>
      <c r="AV10" s="342"/>
      <c r="AW10" s="342"/>
      <c r="AX10" s="342"/>
      <c r="AY10" s="398"/>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row>
    <row r="11" spans="1:136" ht="15.75" thickBot="1" x14ac:dyDescent="0.3">
      <c r="A11" s="388"/>
      <c r="E11" s="342"/>
      <c r="F11" s="342"/>
      <c r="G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row>
    <row r="12" spans="1:136" ht="30" customHeight="1" thickBot="1" x14ac:dyDescent="0.3">
      <c r="A12" s="388"/>
      <c r="B12" s="499" t="s">
        <v>64</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1"/>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row>
    <row r="13" spans="1:136"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3"/>
      <c r="W13" s="413"/>
      <c r="X13" s="413"/>
      <c r="Y13" s="413"/>
      <c r="Z13" s="413"/>
      <c r="AA13" s="413"/>
      <c r="AB13" s="413"/>
      <c r="AC13" s="413"/>
      <c r="AD13" s="414"/>
      <c r="AF13" s="412"/>
      <c r="AG13" s="413"/>
      <c r="AH13" s="413"/>
      <c r="AI13" s="413"/>
      <c r="AJ13" s="413"/>
      <c r="AK13" s="413"/>
      <c r="AL13" s="413"/>
      <c r="AM13" s="413"/>
      <c r="AN13" s="413"/>
      <c r="AO13" s="413"/>
      <c r="AP13" s="413"/>
      <c r="AQ13" s="413"/>
      <c r="AR13" s="413"/>
      <c r="AS13" s="413"/>
      <c r="AT13" s="413"/>
      <c r="AU13" s="413"/>
      <c r="AV13" s="414"/>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row>
    <row r="14" spans="1:136"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289"/>
      <c r="W14" s="289"/>
      <c r="X14" s="289"/>
      <c r="Y14" s="289"/>
      <c r="Z14" s="289"/>
      <c r="AA14" s="289"/>
      <c r="AB14" s="289"/>
      <c r="AC14" s="289"/>
      <c r="AD14" s="419"/>
      <c r="AE14" s="420"/>
      <c r="AF14" s="418" t="s">
        <v>45</v>
      </c>
      <c r="AG14" s="289"/>
      <c r="AH14" s="289"/>
      <c r="AI14" s="289"/>
      <c r="AJ14" s="289"/>
      <c r="AK14" s="289"/>
      <c r="AL14" s="289"/>
      <c r="AM14" s="289"/>
      <c r="AN14" s="289"/>
      <c r="AO14" s="289"/>
      <c r="AP14" s="289"/>
      <c r="AQ14" s="289"/>
      <c r="AR14" s="289"/>
      <c r="AS14" s="289"/>
      <c r="AT14" s="289"/>
      <c r="AU14" s="289"/>
      <c r="AV14" s="419"/>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row>
    <row r="15" spans="1:136" ht="43.5" customHeight="1" outlineLevel="1" x14ac:dyDescent="0.25">
      <c r="A15" s="388"/>
      <c r="B15" s="421" t="s">
        <v>570</v>
      </c>
      <c r="C15" s="422" t="s">
        <v>559</v>
      </c>
      <c r="D15" s="270"/>
      <c r="E15" s="422" t="s">
        <v>590</v>
      </c>
      <c r="F15" s="270"/>
      <c r="G15" s="422" t="s">
        <v>563</v>
      </c>
      <c r="H15" s="270"/>
      <c r="I15" s="422" t="s">
        <v>558</v>
      </c>
      <c r="J15" s="270"/>
      <c r="K15" s="422" t="s">
        <v>564</v>
      </c>
      <c r="L15" s="401"/>
      <c r="M15" s="342"/>
      <c r="N15" s="487"/>
      <c r="O15" s="434"/>
      <c r="P15" s="434"/>
      <c r="Q15" s="434"/>
      <c r="R15" s="425"/>
      <c r="S15" s="422" t="s">
        <v>10</v>
      </c>
      <c r="T15" s="270"/>
      <c r="U15" s="422" t="s">
        <v>110</v>
      </c>
      <c r="V15" s="270"/>
      <c r="W15" s="425"/>
      <c r="X15" s="422" t="s">
        <v>427</v>
      </c>
      <c r="Y15" s="270"/>
      <c r="Z15" s="422" t="s">
        <v>428</v>
      </c>
      <c r="AA15" s="270"/>
      <c r="AB15" s="425"/>
      <c r="AC15" s="422" t="s">
        <v>429</v>
      </c>
      <c r="AD15" s="401"/>
      <c r="AE15" s="342"/>
      <c r="AF15" s="471"/>
      <c r="AG15" s="434"/>
      <c r="AH15" s="434"/>
      <c r="AI15" s="434"/>
      <c r="AJ15" s="425"/>
      <c r="AK15" s="422" t="s">
        <v>45</v>
      </c>
      <c r="AL15" s="270"/>
      <c r="AM15" s="422" t="s">
        <v>111</v>
      </c>
      <c r="AN15" s="270"/>
      <c r="AO15" s="425"/>
      <c r="AP15" s="422" t="s">
        <v>430</v>
      </c>
      <c r="AQ15" s="270"/>
      <c r="AR15" s="422" t="s">
        <v>431</v>
      </c>
      <c r="AS15" s="270"/>
      <c r="AT15" s="425"/>
      <c r="AU15" s="422" t="s">
        <v>432</v>
      </c>
      <c r="AV15" s="401"/>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row>
    <row r="16" spans="1:136" outlineLevel="1" x14ac:dyDescent="0.25">
      <c r="A16" s="388"/>
      <c r="B16" s="426"/>
      <c r="C16" s="302">
        <f>SUM(C18:C25)</f>
        <v>0</v>
      </c>
      <c r="D16" s="427" t="s">
        <v>1</v>
      </c>
      <c r="E16" s="302">
        <f>SUM(E18:E25)</f>
        <v>0</v>
      </c>
      <c r="F16" s="427" t="s">
        <v>1</v>
      </c>
      <c r="G16" s="302">
        <f>SUM(G18:G25)</f>
        <v>0</v>
      </c>
      <c r="H16" s="427" t="s">
        <v>1</v>
      </c>
      <c r="I16" s="302">
        <f>SUM(I18:I25)</f>
        <v>0</v>
      </c>
      <c r="J16" s="427" t="s">
        <v>1</v>
      </c>
      <c r="K16" s="302" t="str">
        <f>IF(E16&gt;0,G16/E16*100,"")</f>
        <v/>
      </c>
      <c r="L16" s="428" t="s">
        <v>2</v>
      </c>
      <c r="M16" s="342"/>
      <c r="N16" s="487"/>
      <c r="O16" s="434"/>
      <c r="P16" s="434"/>
      <c r="Q16" s="434"/>
      <c r="R16" s="425"/>
      <c r="S16" s="504"/>
      <c r="T16" s="427" t="s">
        <v>0</v>
      </c>
      <c r="U16" s="302">
        <f>'ETAPE 1'!P16</f>
        <v>47630</v>
      </c>
      <c r="V16" s="427" t="s">
        <v>6</v>
      </c>
      <c r="W16" s="425"/>
      <c r="X16" s="302">
        <f>U16</f>
        <v>47630</v>
      </c>
      <c r="Y16" s="427" t="s">
        <v>6</v>
      </c>
      <c r="Z16" s="302">
        <f>IF($E$10&lt;&gt;0,X16/$E$10,0)</f>
        <v>0</v>
      </c>
      <c r="AA16" s="430" t="s">
        <v>72</v>
      </c>
      <c r="AB16" s="425"/>
      <c r="AC16" s="302">
        <f>G16*Z16</f>
        <v>0</v>
      </c>
      <c r="AD16" s="428" t="s">
        <v>6</v>
      </c>
      <c r="AE16" s="342"/>
      <c r="AF16" s="471"/>
      <c r="AG16" s="434"/>
      <c r="AH16" s="434"/>
      <c r="AI16" s="434"/>
      <c r="AJ16" s="425"/>
      <c r="AK16" s="504"/>
      <c r="AL16" s="427" t="s">
        <v>20</v>
      </c>
      <c r="AM16" s="302">
        <f>'ETAPE 1'!Z16</f>
        <v>194.15207999999998</v>
      </c>
      <c r="AN16" s="427" t="s">
        <v>21</v>
      </c>
      <c r="AO16" s="425"/>
      <c r="AP16" s="302">
        <f>AM16</f>
        <v>194.15207999999998</v>
      </c>
      <c r="AQ16" s="427" t="s">
        <v>21</v>
      </c>
      <c r="AR16" s="302">
        <f>IF($E$10&lt;&gt;0,AP16/$E$10,0)</f>
        <v>0</v>
      </c>
      <c r="AS16" s="427" t="s">
        <v>73</v>
      </c>
      <c r="AT16" s="425"/>
      <c r="AU16" s="302">
        <f>G16*AR16</f>
        <v>0</v>
      </c>
      <c r="AV16" s="428" t="s">
        <v>21</v>
      </c>
      <c r="AW16" s="342"/>
      <c r="AX16" s="342"/>
      <c r="AY16" s="342"/>
      <c r="AZ16" s="342" t="s">
        <v>40</v>
      </c>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row>
    <row r="17" spans="1:136" ht="6.75" customHeight="1" outlineLevel="1" x14ac:dyDescent="0.25">
      <c r="A17" s="388"/>
      <c r="B17" s="431"/>
      <c r="C17" s="420"/>
      <c r="D17" s="420"/>
      <c r="E17" s="420"/>
      <c r="F17" s="420"/>
      <c r="G17" s="420"/>
      <c r="H17" s="420"/>
      <c r="I17" s="420"/>
      <c r="J17" s="420"/>
      <c r="K17" s="420"/>
      <c r="L17" s="432"/>
      <c r="M17" s="420"/>
      <c r="N17" s="487"/>
      <c r="O17" s="434"/>
      <c r="P17" s="434"/>
      <c r="Q17" s="434"/>
      <c r="R17" s="420"/>
      <c r="S17" s="420"/>
      <c r="T17" s="420"/>
      <c r="U17" s="420"/>
      <c r="V17" s="420"/>
      <c r="W17" s="420"/>
      <c r="X17" s="420"/>
      <c r="Y17" s="420"/>
      <c r="Z17" s="433"/>
      <c r="AA17" s="433"/>
      <c r="AB17" s="433"/>
      <c r="AC17" s="420"/>
      <c r="AD17" s="432"/>
      <c r="AE17" s="388"/>
      <c r="AF17" s="487"/>
      <c r="AG17" s="434"/>
      <c r="AH17" s="434"/>
      <c r="AI17" s="434"/>
      <c r="AJ17" s="420"/>
      <c r="AK17" s="420"/>
      <c r="AL17" s="420"/>
      <c r="AM17" s="420"/>
      <c r="AN17" s="420"/>
      <c r="AO17" s="420"/>
      <c r="AP17" s="420"/>
      <c r="AQ17" s="420"/>
      <c r="AR17" s="420"/>
      <c r="AS17" s="420"/>
      <c r="AT17" s="420"/>
      <c r="AU17" s="420"/>
      <c r="AV17" s="43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row>
    <row r="18" spans="1:136" outlineLevel="1" x14ac:dyDescent="0.25">
      <c r="A18" s="388"/>
      <c r="B18" s="435"/>
      <c r="C18" s="340"/>
      <c r="D18" s="427" t="s">
        <v>1</v>
      </c>
      <c r="E18" s="436"/>
      <c r="F18" s="427" t="s">
        <v>1</v>
      </c>
      <c r="G18" s="436"/>
      <c r="H18" s="427" t="s">
        <v>1</v>
      </c>
      <c r="I18" s="436"/>
      <c r="J18" s="427" t="s">
        <v>1</v>
      </c>
      <c r="K18" s="302" t="str">
        <f>IF(E18&gt;0,G18/E18*100,"")</f>
        <v/>
      </c>
      <c r="L18" s="428" t="s">
        <v>2</v>
      </c>
      <c r="M18" s="420"/>
      <c r="N18" s="487"/>
      <c r="O18" s="434"/>
      <c r="P18" s="434"/>
      <c r="Q18" s="434"/>
      <c r="R18" s="438"/>
      <c r="S18" s="302" t="str">
        <f>IF(B18&lt;&gt;0,VLOOKUP(B18,GENERALITES!$B$21:$D$31,3,FALSE),"")</f>
        <v/>
      </c>
      <c r="T18" s="427" t="s">
        <v>0</v>
      </c>
      <c r="U18" s="438"/>
      <c r="V18" s="438"/>
      <c r="W18" s="438"/>
      <c r="X18" s="438"/>
      <c r="Y18" s="438"/>
      <c r="Z18" s="425"/>
      <c r="AA18" s="425"/>
      <c r="AB18" s="425"/>
      <c r="AC18" s="438"/>
      <c r="AD18" s="439"/>
      <c r="AE18" s="388"/>
      <c r="AF18" s="487"/>
      <c r="AG18" s="434"/>
      <c r="AH18" s="434"/>
      <c r="AI18" s="434"/>
      <c r="AJ18" s="438"/>
      <c r="AK18" s="302" t="str">
        <f>IF(B18&lt;&gt;0,VLOOKUP(B18,GENERALITES!$B$21:$N$31,12,FALSE),"")</f>
        <v/>
      </c>
      <c r="AL18" s="427" t="s">
        <v>20</v>
      </c>
      <c r="AM18" s="438"/>
      <c r="AN18" s="438"/>
      <c r="AO18" s="438"/>
      <c r="AP18" s="438"/>
      <c r="AQ18" s="438"/>
      <c r="AR18" s="425"/>
      <c r="AS18" s="425"/>
      <c r="AT18" s="425"/>
      <c r="AU18" s="438"/>
      <c r="AV18" s="439"/>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row>
    <row r="19" spans="1:136" outlineLevel="1" x14ac:dyDescent="0.25">
      <c r="A19" s="388"/>
      <c r="B19" s="435"/>
      <c r="C19" s="340"/>
      <c r="D19" s="427" t="s">
        <v>1</v>
      </c>
      <c r="E19" s="436"/>
      <c r="F19" s="427" t="s">
        <v>1</v>
      </c>
      <c r="G19" s="436"/>
      <c r="H19" s="427" t="s">
        <v>1</v>
      </c>
      <c r="I19" s="436"/>
      <c r="J19" s="427" t="s">
        <v>1</v>
      </c>
      <c r="K19" s="302" t="str">
        <f t="shared" ref="K19:K25" si="0">IF(E19&gt;0,G19/E19*100,"")</f>
        <v/>
      </c>
      <c r="L19" s="428" t="s">
        <v>2</v>
      </c>
      <c r="M19" s="420"/>
      <c r="N19" s="487"/>
      <c r="O19" s="434"/>
      <c r="P19" s="434"/>
      <c r="Q19" s="434"/>
      <c r="R19" s="438"/>
      <c r="S19" s="302" t="str">
        <f>IF(B19&lt;&gt;0,VLOOKUP(B19,GENERALITES!$B$21:$D$31,3,FALSE),"")</f>
        <v/>
      </c>
      <c r="T19" s="427" t="s">
        <v>0</v>
      </c>
      <c r="U19" s="438"/>
      <c r="V19" s="438"/>
      <c r="W19" s="438"/>
      <c r="X19" s="438"/>
      <c r="Y19" s="438"/>
      <c r="Z19" s="425"/>
      <c r="AA19" s="425"/>
      <c r="AB19" s="425"/>
      <c r="AC19" s="438"/>
      <c r="AD19" s="439"/>
      <c r="AE19" s="388"/>
      <c r="AF19" s="487"/>
      <c r="AG19" s="434"/>
      <c r="AH19" s="434"/>
      <c r="AI19" s="434"/>
      <c r="AJ19" s="438"/>
      <c r="AK19" s="302" t="str">
        <f>IF(B19&lt;&gt;0,VLOOKUP(B19,GENERALITES!$B$21:$N$31,12,FALSE),"")</f>
        <v/>
      </c>
      <c r="AL19" s="427" t="s">
        <v>20</v>
      </c>
      <c r="AM19" s="438"/>
      <c r="AN19" s="438"/>
      <c r="AO19" s="438"/>
      <c r="AP19" s="438"/>
      <c r="AQ19" s="438"/>
      <c r="AR19" s="425"/>
      <c r="AS19" s="425"/>
      <c r="AT19" s="425"/>
      <c r="AU19" s="438"/>
      <c r="AV19" s="439"/>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row>
    <row r="20" spans="1:136" outlineLevel="1" x14ac:dyDescent="0.25">
      <c r="A20" s="440"/>
      <c r="B20" s="435"/>
      <c r="C20" s="340"/>
      <c r="D20" s="427" t="s">
        <v>1</v>
      </c>
      <c r="E20" s="436"/>
      <c r="F20" s="427" t="s">
        <v>1</v>
      </c>
      <c r="G20" s="436"/>
      <c r="H20" s="427" t="s">
        <v>1</v>
      </c>
      <c r="I20" s="436"/>
      <c r="J20" s="427" t="s">
        <v>1</v>
      </c>
      <c r="K20" s="302" t="str">
        <f t="shared" si="0"/>
        <v/>
      </c>
      <c r="L20" s="428" t="s">
        <v>2</v>
      </c>
      <c r="M20" s="420"/>
      <c r="N20" s="487"/>
      <c r="O20" s="434"/>
      <c r="P20" s="434"/>
      <c r="Q20" s="434"/>
      <c r="R20" s="438"/>
      <c r="S20" s="302" t="str">
        <f>IF(B20&lt;&gt;0,VLOOKUP(B20,GENERALITES!$B$21:$D$31,3,FALSE),"")</f>
        <v/>
      </c>
      <c r="T20" s="427" t="s">
        <v>0</v>
      </c>
      <c r="U20" s="438"/>
      <c r="V20" s="438"/>
      <c r="W20" s="438"/>
      <c r="X20" s="438"/>
      <c r="Y20" s="438"/>
      <c r="Z20" s="425"/>
      <c r="AA20" s="425"/>
      <c r="AB20" s="425"/>
      <c r="AC20" s="438"/>
      <c r="AD20" s="439"/>
      <c r="AE20" s="388"/>
      <c r="AF20" s="487"/>
      <c r="AG20" s="434"/>
      <c r="AH20" s="434"/>
      <c r="AI20" s="434"/>
      <c r="AJ20" s="438"/>
      <c r="AK20" s="302" t="str">
        <f>IF(B20&lt;&gt;0,VLOOKUP(B20,GENERALITES!$B$21:$N$31,12,FALSE),"")</f>
        <v/>
      </c>
      <c r="AL20" s="427" t="s">
        <v>20</v>
      </c>
      <c r="AM20" s="438"/>
      <c r="AN20" s="438"/>
      <c r="AO20" s="438"/>
      <c r="AP20" s="438"/>
      <c r="AQ20" s="438"/>
      <c r="AR20" s="425"/>
      <c r="AS20" s="425"/>
      <c r="AT20" s="425"/>
      <c r="AU20" s="438"/>
      <c r="AV20" s="439"/>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row>
    <row r="21" spans="1:136" outlineLevel="1" x14ac:dyDescent="0.25">
      <c r="A21" s="440"/>
      <c r="B21" s="435"/>
      <c r="C21" s="340"/>
      <c r="D21" s="427" t="s">
        <v>1</v>
      </c>
      <c r="E21" s="436"/>
      <c r="F21" s="427" t="s">
        <v>1</v>
      </c>
      <c r="G21" s="436"/>
      <c r="H21" s="427" t="s">
        <v>1</v>
      </c>
      <c r="I21" s="436"/>
      <c r="J21" s="427" t="s">
        <v>1</v>
      </c>
      <c r="K21" s="302" t="str">
        <f t="shared" si="0"/>
        <v/>
      </c>
      <c r="L21" s="428" t="s">
        <v>2</v>
      </c>
      <c r="M21" s="420"/>
      <c r="N21" s="487"/>
      <c r="O21" s="434"/>
      <c r="P21" s="434"/>
      <c r="Q21" s="434"/>
      <c r="R21" s="438"/>
      <c r="S21" s="302" t="str">
        <f>IF(B21&lt;&gt;0,VLOOKUP(B21,GENERALITES!$B$21:$D$31,3,FALSE),"")</f>
        <v/>
      </c>
      <c r="T21" s="427" t="s">
        <v>0</v>
      </c>
      <c r="U21" s="438"/>
      <c r="V21" s="438"/>
      <c r="W21" s="438"/>
      <c r="X21" s="438"/>
      <c r="Y21" s="438"/>
      <c r="Z21" s="425"/>
      <c r="AA21" s="425"/>
      <c r="AB21" s="425"/>
      <c r="AC21" s="438"/>
      <c r="AD21" s="439"/>
      <c r="AE21" s="388"/>
      <c r="AF21" s="487"/>
      <c r="AG21" s="434"/>
      <c r="AH21" s="434"/>
      <c r="AI21" s="434"/>
      <c r="AJ21" s="438"/>
      <c r="AK21" s="302" t="str">
        <f>IF(B21&lt;&gt;0,VLOOKUP(B21,GENERALITES!$B$21:$N$31,12,FALSE),"")</f>
        <v/>
      </c>
      <c r="AL21" s="427" t="s">
        <v>20</v>
      </c>
      <c r="AM21" s="438"/>
      <c r="AN21" s="438"/>
      <c r="AO21" s="438"/>
      <c r="AP21" s="438"/>
      <c r="AQ21" s="438"/>
      <c r="AR21" s="425"/>
      <c r="AS21" s="425"/>
      <c r="AT21" s="425"/>
      <c r="AU21" s="438"/>
      <c r="AV21" s="439"/>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row>
    <row r="22" spans="1:136" outlineLevel="1" x14ac:dyDescent="0.25">
      <c r="A22" s="440"/>
      <c r="B22" s="435"/>
      <c r="C22" s="340"/>
      <c r="D22" s="427" t="s">
        <v>1</v>
      </c>
      <c r="E22" s="436"/>
      <c r="F22" s="427" t="s">
        <v>1</v>
      </c>
      <c r="G22" s="436"/>
      <c r="H22" s="427" t="s">
        <v>1</v>
      </c>
      <c r="I22" s="436"/>
      <c r="J22" s="427" t="s">
        <v>1</v>
      </c>
      <c r="K22" s="302" t="str">
        <f t="shared" si="0"/>
        <v/>
      </c>
      <c r="L22" s="428" t="s">
        <v>2</v>
      </c>
      <c r="M22" s="420"/>
      <c r="N22" s="487"/>
      <c r="O22" s="434"/>
      <c r="P22" s="434"/>
      <c r="Q22" s="434"/>
      <c r="R22" s="438"/>
      <c r="S22" s="302" t="str">
        <f>IF(B22&lt;&gt;0,VLOOKUP(B22,GENERALITES!$B$21:$D$31,3,FALSE),"")</f>
        <v/>
      </c>
      <c r="T22" s="427" t="s">
        <v>0</v>
      </c>
      <c r="U22" s="438"/>
      <c r="V22" s="438"/>
      <c r="W22" s="438"/>
      <c r="X22" s="438"/>
      <c r="Y22" s="438"/>
      <c r="Z22" s="425"/>
      <c r="AA22" s="425"/>
      <c r="AB22" s="425"/>
      <c r="AC22" s="438"/>
      <c r="AD22" s="439"/>
      <c r="AE22" s="388"/>
      <c r="AF22" s="487"/>
      <c r="AG22" s="434"/>
      <c r="AH22" s="434"/>
      <c r="AI22" s="434"/>
      <c r="AJ22" s="438"/>
      <c r="AK22" s="302" t="str">
        <f>IF(B22&lt;&gt;0,VLOOKUP(B22,GENERALITES!$B$21:$N$31,12,FALSE),"")</f>
        <v/>
      </c>
      <c r="AL22" s="427" t="s">
        <v>20</v>
      </c>
      <c r="AM22" s="438"/>
      <c r="AN22" s="438"/>
      <c r="AO22" s="438"/>
      <c r="AP22" s="438"/>
      <c r="AQ22" s="438"/>
      <c r="AR22" s="425"/>
      <c r="AS22" s="425"/>
      <c r="AT22" s="425"/>
      <c r="AU22" s="438"/>
      <c r="AV22" s="439"/>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row>
    <row r="23" spans="1:136" outlineLevel="1" x14ac:dyDescent="0.25">
      <c r="A23" s="440"/>
      <c r="B23" s="435"/>
      <c r="C23" s="340"/>
      <c r="D23" s="427" t="s">
        <v>1</v>
      </c>
      <c r="E23" s="436"/>
      <c r="F23" s="427" t="s">
        <v>1</v>
      </c>
      <c r="G23" s="436"/>
      <c r="H23" s="427" t="s">
        <v>1</v>
      </c>
      <c r="I23" s="436"/>
      <c r="J23" s="427" t="s">
        <v>1</v>
      </c>
      <c r="K23" s="302" t="str">
        <f t="shared" si="0"/>
        <v/>
      </c>
      <c r="L23" s="428" t="s">
        <v>2</v>
      </c>
      <c r="M23" s="420"/>
      <c r="N23" s="487"/>
      <c r="O23" s="434"/>
      <c r="P23" s="434"/>
      <c r="Q23" s="434"/>
      <c r="R23" s="438"/>
      <c r="S23" s="302" t="str">
        <f>IF(B23&lt;&gt;0,VLOOKUP(B23,GENERALITES!$B$21:$D$31,3,FALSE),"")</f>
        <v/>
      </c>
      <c r="T23" s="427" t="s">
        <v>0</v>
      </c>
      <c r="U23" s="438"/>
      <c r="V23" s="438"/>
      <c r="W23" s="438"/>
      <c r="X23" s="438"/>
      <c r="Y23" s="438"/>
      <c r="Z23" s="425"/>
      <c r="AA23" s="425"/>
      <c r="AB23" s="425"/>
      <c r="AC23" s="438"/>
      <c r="AD23" s="439"/>
      <c r="AE23" s="388"/>
      <c r="AF23" s="487"/>
      <c r="AG23" s="434"/>
      <c r="AH23" s="434"/>
      <c r="AI23" s="434"/>
      <c r="AJ23" s="438"/>
      <c r="AK23" s="302" t="str">
        <f>IF(B23&lt;&gt;0,VLOOKUP(B23,GENERALITES!$B$21:$N$31,12,FALSE),"")</f>
        <v/>
      </c>
      <c r="AL23" s="427" t="s">
        <v>20</v>
      </c>
      <c r="AM23" s="438"/>
      <c r="AN23" s="438"/>
      <c r="AO23" s="438"/>
      <c r="AP23" s="438"/>
      <c r="AQ23" s="438"/>
      <c r="AR23" s="425"/>
      <c r="AS23" s="425"/>
      <c r="AT23" s="425"/>
      <c r="AU23" s="438"/>
      <c r="AV23" s="439"/>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row>
    <row r="24" spans="1:136" outlineLevel="1" x14ac:dyDescent="0.25">
      <c r="A24" s="440"/>
      <c r="B24" s="435"/>
      <c r="C24" s="340"/>
      <c r="D24" s="427" t="s">
        <v>1</v>
      </c>
      <c r="E24" s="436"/>
      <c r="F24" s="427" t="s">
        <v>1</v>
      </c>
      <c r="G24" s="436"/>
      <c r="H24" s="427" t="s">
        <v>1</v>
      </c>
      <c r="I24" s="436"/>
      <c r="J24" s="427" t="s">
        <v>1</v>
      </c>
      <c r="K24" s="302" t="str">
        <f t="shared" si="0"/>
        <v/>
      </c>
      <c r="L24" s="428" t="s">
        <v>2</v>
      </c>
      <c r="M24" s="420"/>
      <c r="N24" s="487"/>
      <c r="O24" s="434"/>
      <c r="P24" s="434"/>
      <c r="Q24" s="434"/>
      <c r="R24" s="438"/>
      <c r="S24" s="302" t="str">
        <f>IF(B24&lt;&gt;0,VLOOKUP(B24,GENERALITES!$B$21:$D$31,3,FALSE),"")</f>
        <v/>
      </c>
      <c r="T24" s="427" t="s">
        <v>0</v>
      </c>
      <c r="U24" s="438"/>
      <c r="V24" s="438"/>
      <c r="W24" s="438"/>
      <c r="X24" s="438"/>
      <c r="Y24" s="438"/>
      <c r="Z24" s="425"/>
      <c r="AA24" s="425"/>
      <c r="AB24" s="425"/>
      <c r="AC24" s="438"/>
      <c r="AD24" s="439"/>
      <c r="AE24" s="388"/>
      <c r="AF24" s="487"/>
      <c r="AG24" s="434"/>
      <c r="AH24" s="434"/>
      <c r="AI24" s="434"/>
      <c r="AJ24" s="438"/>
      <c r="AK24" s="302" t="str">
        <f>IF(B24&lt;&gt;0,VLOOKUP(B24,GENERALITES!$B$21:$N$31,12,FALSE),"")</f>
        <v/>
      </c>
      <c r="AL24" s="427" t="s">
        <v>20</v>
      </c>
      <c r="AM24" s="438"/>
      <c r="AN24" s="438"/>
      <c r="AO24" s="438"/>
      <c r="AP24" s="438"/>
      <c r="AQ24" s="438"/>
      <c r="AR24" s="425"/>
      <c r="AS24" s="425"/>
      <c r="AT24" s="425"/>
      <c r="AU24" s="438"/>
      <c r="AV24" s="439"/>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row>
    <row r="25" spans="1:136" outlineLevel="1" x14ac:dyDescent="0.25">
      <c r="A25" s="440"/>
      <c r="B25" s="435"/>
      <c r="C25" s="340"/>
      <c r="D25" s="427" t="s">
        <v>1</v>
      </c>
      <c r="E25" s="436"/>
      <c r="F25" s="427" t="s">
        <v>1</v>
      </c>
      <c r="G25" s="436"/>
      <c r="H25" s="427" t="s">
        <v>1</v>
      </c>
      <c r="I25" s="436"/>
      <c r="J25" s="427" t="s">
        <v>1</v>
      </c>
      <c r="K25" s="302" t="str">
        <f t="shared" si="0"/>
        <v/>
      </c>
      <c r="L25" s="428" t="s">
        <v>2</v>
      </c>
      <c r="M25" s="420"/>
      <c r="N25" s="487"/>
      <c r="O25" s="434"/>
      <c r="P25" s="434"/>
      <c r="Q25" s="434"/>
      <c r="R25" s="438"/>
      <c r="S25" s="302" t="str">
        <f>IF(B25&lt;&gt;0,VLOOKUP(B25,GENERALITES!$B$21:$D$31,3,FALSE),"")</f>
        <v/>
      </c>
      <c r="T25" s="427" t="s">
        <v>0</v>
      </c>
      <c r="U25" s="438"/>
      <c r="V25" s="438"/>
      <c r="W25" s="438"/>
      <c r="X25" s="438"/>
      <c r="Y25" s="438"/>
      <c r="Z25" s="425"/>
      <c r="AA25" s="425"/>
      <c r="AB25" s="425"/>
      <c r="AC25" s="438"/>
      <c r="AD25" s="439"/>
      <c r="AE25" s="388"/>
      <c r="AF25" s="487"/>
      <c r="AG25" s="434"/>
      <c r="AH25" s="434"/>
      <c r="AI25" s="434"/>
      <c r="AJ25" s="420"/>
      <c r="AK25" s="302" t="str">
        <f>IF(B25&lt;&gt;0,VLOOKUP(B25,GENERALITES!$B$21:$N$31,12,FALSE),"")</f>
        <v/>
      </c>
      <c r="AL25" s="427" t="s">
        <v>20</v>
      </c>
      <c r="AM25" s="420"/>
      <c r="AN25" s="420"/>
      <c r="AO25" s="420"/>
      <c r="AP25" s="420"/>
      <c r="AQ25" s="420"/>
      <c r="AR25" s="425"/>
      <c r="AS25" s="425"/>
      <c r="AT25" s="425"/>
      <c r="AU25" s="420"/>
      <c r="AV25" s="432"/>
      <c r="AW25" s="388"/>
      <c r="AX25" s="342"/>
      <c r="AY25" s="342"/>
      <c r="BD25" s="342"/>
      <c r="BE25" s="342"/>
      <c r="BF25" s="342"/>
      <c r="BG25" s="342"/>
      <c r="BH25" s="342"/>
      <c r="BI25" s="342"/>
      <c r="BJ25" s="342"/>
      <c r="BK25" s="342"/>
      <c r="BL25" s="342"/>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row>
    <row r="26" spans="1:136" ht="15.75" thickBot="1" x14ac:dyDescent="0.3">
      <c r="A26" s="440"/>
      <c r="B26" s="477"/>
      <c r="C26" s="478"/>
      <c r="D26" s="478"/>
      <c r="E26" s="478"/>
      <c r="F26" s="478"/>
      <c r="G26" s="478"/>
      <c r="H26" s="478"/>
      <c r="I26" s="478"/>
      <c r="J26" s="478"/>
      <c r="K26" s="478"/>
      <c r="L26" s="479"/>
      <c r="M26" s="440"/>
      <c r="N26" s="477"/>
      <c r="O26" s="478"/>
      <c r="P26" s="478"/>
      <c r="Q26" s="478"/>
      <c r="R26" s="478"/>
      <c r="S26" s="478"/>
      <c r="T26" s="478"/>
      <c r="U26" s="478"/>
      <c r="V26" s="478"/>
      <c r="W26" s="478"/>
      <c r="X26" s="478"/>
      <c r="Y26" s="478"/>
      <c r="Z26" s="478"/>
      <c r="AA26" s="478"/>
      <c r="AB26" s="478"/>
      <c r="AC26" s="478"/>
      <c r="AD26" s="479"/>
      <c r="AE26" s="440"/>
      <c r="AF26" s="444"/>
      <c r="AG26" s="445"/>
      <c r="AH26" s="445"/>
      <c r="AI26" s="445"/>
      <c r="AJ26" s="445"/>
      <c r="AK26" s="445"/>
      <c r="AL26" s="445"/>
      <c r="AM26" s="445"/>
      <c r="AN26" s="445"/>
      <c r="AO26" s="445"/>
      <c r="AP26" s="445"/>
      <c r="AQ26" s="445"/>
      <c r="AR26" s="445"/>
      <c r="AS26" s="445"/>
      <c r="AT26" s="445"/>
      <c r="AU26" s="445"/>
      <c r="AV26" s="446"/>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row>
    <row r="27" spans="1:136" ht="30" customHeight="1" thickBot="1" x14ac:dyDescent="0.3">
      <c r="A27" s="388"/>
      <c r="B27" s="499" t="s">
        <v>63</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1"/>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row>
    <row r="28" spans="1:136" outlineLevel="1" x14ac:dyDescent="0.25">
      <c r="B28" s="412"/>
      <c r="C28" s="413"/>
      <c r="D28" s="413"/>
      <c r="E28" s="413"/>
      <c r="F28" s="413"/>
      <c r="G28" s="413"/>
      <c r="H28" s="413"/>
      <c r="I28" s="413"/>
      <c r="J28" s="413"/>
      <c r="K28" s="413"/>
      <c r="L28" s="414"/>
      <c r="N28" s="412"/>
      <c r="O28" s="413"/>
      <c r="P28" s="413"/>
      <c r="Q28" s="413"/>
      <c r="R28" s="413"/>
      <c r="S28" s="413"/>
      <c r="T28" s="413"/>
      <c r="U28" s="413"/>
      <c r="V28" s="413"/>
      <c r="W28" s="413"/>
      <c r="X28" s="413"/>
      <c r="Y28" s="413"/>
      <c r="Z28" s="413"/>
      <c r="AA28" s="413"/>
      <c r="AB28" s="413"/>
      <c r="AC28" s="413"/>
      <c r="AD28" s="414"/>
      <c r="AF28" s="412"/>
      <c r="AG28" s="413"/>
      <c r="AH28" s="413"/>
      <c r="AI28" s="413"/>
      <c r="AJ28" s="413"/>
      <c r="AK28" s="413"/>
      <c r="AL28" s="413"/>
      <c r="AM28" s="413"/>
      <c r="AN28" s="413"/>
      <c r="AO28" s="413"/>
      <c r="AP28" s="413"/>
      <c r="AQ28" s="413"/>
      <c r="AR28" s="413"/>
      <c r="AS28" s="413"/>
      <c r="AT28" s="413"/>
      <c r="AU28" s="413"/>
      <c r="AV28" s="414"/>
      <c r="AW28" s="388"/>
      <c r="AX28" s="388"/>
      <c r="AY28" s="388"/>
      <c r="AZ28" s="388"/>
      <c r="BA28" s="388"/>
      <c r="BB28" s="388"/>
      <c r="BC28" s="388"/>
      <c r="BD28" s="342"/>
      <c r="BE28" s="342"/>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row>
    <row r="29" spans="1:136"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289"/>
      <c r="W29" s="289"/>
      <c r="X29" s="289"/>
      <c r="Y29" s="289"/>
      <c r="Z29" s="289"/>
      <c r="AA29" s="289"/>
      <c r="AB29" s="289"/>
      <c r="AC29" s="289"/>
      <c r="AD29" s="419"/>
      <c r="AE29" s="420"/>
      <c r="AF29" s="418" t="s">
        <v>54</v>
      </c>
      <c r="AG29" s="289"/>
      <c r="AH29" s="289"/>
      <c r="AI29" s="289"/>
      <c r="AJ29" s="289"/>
      <c r="AK29" s="289"/>
      <c r="AL29" s="289"/>
      <c r="AM29" s="289"/>
      <c r="AN29" s="289"/>
      <c r="AO29" s="289"/>
      <c r="AP29" s="289"/>
      <c r="AQ29" s="289"/>
      <c r="AR29" s="289"/>
      <c r="AS29" s="289"/>
      <c r="AT29" s="289"/>
      <c r="AU29" s="289"/>
      <c r="AV29" s="419"/>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row>
    <row r="30" spans="1:136" ht="43.5" customHeight="1" outlineLevel="1" x14ac:dyDescent="0.25">
      <c r="A30" s="388"/>
      <c r="B30" s="421" t="s">
        <v>433</v>
      </c>
      <c r="C30" s="425"/>
      <c r="D30" s="425"/>
      <c r="E30" s="425"/>
      <c r="F30" s="425"/>
      <c r="G30" s="422" t="s">
        <v>434</v>
      </c>
      <c r="H30" s="270"/>
      <c r="I30" s="422" t="s">
        <v>557</v>
      </c>
      <c r="J30" s="447"/>
      <c r="K30" s="447"/>
      <c r="L30" s="401"/>
      <c r="M30" s="342"/>
      <c r="N30" s="269" t="s">
        <v>77</v>
      </c>
      <c r="O30" s="270"/>
      <c r="P30" s="422" t="s">
        <v>435</v>
      </c>
      <c r="Q30" s="270"/>
      <c r="R30" s="425"/>
      <c r="S30" s="422" t="s">
        <v>80</v>
      </c>
      <c r="T30" s="270"/>
      <c r="U30" s="422" t="s">
        <v>81</v>
      </c>
      <c r="V30" s="270"/>
      <c r="W30" s="425"/>
      <c r="X30" s="422" t="s">
        <v>436</v>
      </c>
      <c r="Y30" s="270"/>
      <c r="Z30" s="422" t="s">
        <v>437</v>
      </c>
      <c r="AA30" s="270"/>
      <c r="AB30" s="425"/>
      <c r="AC30" s="422" t="s">
        <v>438</v>
      </c>
      <c r="AD30" s="401"/>
      <c r="AE30" s="420"/>
      <c r="AF30" s="269" t="s">
        <v>54</v>
      </c>
      <c r="AG30" s="270"/>
      <c r="AH30" s="422" t="s">
        <v>439</v>
      </c>
      <c r="AI30" s="270"/>
      <c r="AJ30" s="425"/>
      <c r="AK30" s="422" t="s">
        <v>89</v>
      </c>
      <c r="AL30" s="270"/>
      <c r="AM30" s="422" t="s">
        <v>76</v>
      </c>
      <c r="AN30" s="270"/>
      <c r="AO30" s="425"/>
      <c r="AP30" s="422" t="s">
        <v>440</v>
      </c>
      <c r="AQ30" s="270"/>
      <c r="AR30" s="422" t="s">
        <v>441</v>
      </c>
      <c r="AS30" s="270"/>
      <c r="AT30" s="425"/>
      <c r="AU30" s="422" t="s">
        <v>442</v>
      </c>
      <c r="AV30" s="401"/>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row>
    <row r="31" spans="1:136" outlineLevel="1" x14ac:dyDescent="0.25">
      <c r="B31" s="426"/>
      <c r="C31" s="425"/>
      <c r="D31" s="425"/>
      <c r="E31" s="425"/>
      <c r="F31" s="425"/>
      <c r="G31" s="302">
        <f>SUM(G33:G38)</f>
        <v>0</v>
      </c>
      <c r="H31" s="427" t="s">
        <v>1</v>
      </c>
      <c r="I31" s="507"/>
      <c r="J31" s="449" t="s">
        <v>2</v>
      </c>
      <c r="K31" s="302">
        <f>SUM(K33:K38)</f>
        <v>0</v>
      </c>
      <c r="L31" s="428" t="s">
        <v>1</v>
      </c>
      <c r="M31" s="342"/>
      <c r="N31" s="450"/>
      <c r="O31" s="427" t="s">
        <v>0</v>
      </c>
      <c r="P31" s="302">
        <f>SUMPRODUCT('ETAPE 6'!G33:G38,'ETAPE 6'!N33:N38)</f>
        <v>0</v>
      </c>
      <c r="Q31" s="427" t="s">
        <v>6</v>
      </c>
      <c r="R31" s="425"/>
      <c r="S31" s="302">
        <f>'ETAPE 5'!Z31</f>
        <v>0</v>
      </c>
      <c r="T31" s="427" t="s">
        <v>72</v>
      </c>
      <c r="U31" s="302">
        <f>S31*$B$10</f>
        <v>0</v>
      </c>
      <c r="V31" s="427" t="s">
        <v>6</v>
      </c>
      <c r="W31" s="425"/>
      <c r="X31" s="302">
        <f>P31+U31</f>
        <v>0</v>
      </c>
      <c r="Y31" s="427" t="s">
        <v>6</v>
      </c>
      <c r="Z31" s="302">
        <f>IF($E$10&lt;&gt;0,X31/$E$10,0)</f>
        <v>0</v>
      </c>
      <c r="AA31" s="427" t="s">
        <v>72</v>
      </c>
      <c r="AB31" s="425"/>
      <c r="AC31" s="302">
        <f>$N$10/100*U31+SUMPRODUCT(K33:K38,N33:N38)</f>
        <v>0</v>
      </c>
      <c r="AD31" s="428" t="s">
        <v>6</v>
      </c>
      <c r="AE31" s="388"/>
      <c r="AF31" s="450"/>
      <c r="AG31" s="427" t="s">
        <v>20</v>
      </c>
      <c r="AH31" s="302">
        <f>SUMPRODUCT(G33:G38,AF33:AF38)</f>
        <v>0</v>
      </c>
      <c r="AI31" s="427" t="s">
        <v>21</v>
      </c>
      <c r="AJ31" s="425"/>
      <c r="AK31" s="302">
        <f>'ETAPE 5'!AR31</f>
        <v>0</v>
      </c>
      <c r="AL31" s="427" t="s">
        <v>73</v>
      </c>
      <c r="AM31" s="448">
        <f>AK31*$B$10</f>
        <v>0</v>
      </c>
      <c r="AN31" s="427" t="s">
        <v>21</v>
      </c>
      <c r="AO31" s="425"/>
      <c r="AP31" s="302">
        <f>AH31+AM31</f>
        <v>0</v>
      </c>
      <c r="AQ31" s="427" t="s">
        <v>21</v>
      </c>
      <c r="AR31" s="302">
        <f>IF($E$10&lt;&gt;0,AP31/$E$10,0)</f>
        <v>0</v>
      </c>
      <c r="AS31" s="427" t="s">
        <v>73</v>
      </c>
      <c r="AT31" s="425"/>
      <c r="AU31" s="302">
        <f>$N$10/100*AM31+SUMPRODUCT(K33:K38,AF33:AF38)</f>
        <v>0</v>
      </c>
      <c r="AV31" s="428" t="s">
        <v>21</v>
      </c>
      <c r="AW31" s="388"/>
      <c r="AX31" s="342"/>
      <c r="AY31" s="342"/>
      <c r="AZ31" s="342"/>
      <c r="BA31" s="342"/>
      <c r="BB31" s="342"/>
      <c r="BC31" s="342"/>
      <c r="BD31" s="342"/>
      <c r="BE31" s="342"/>
      <c r="BF31" s="342"/>
      <c r="BG31" s="342"/>
      <c r="BH31" s="342"/>
      <c r="BI31" s="342"/>
      <c r="BJ31" s="342"/>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row>
    <row r="32" spans="1:136" ht="6.75" customHeight="1" outlineLevel="1" x14ac:dyDescent="0.25">
      <c r="A32" s="388"/>
      <c r="B32" s="431"/>
      <c r="C32" s="420"/>
      <c r="D32" s="420"/>
      <c r="E32" s="420"/>
      <c r="F32" s="420"/>
      <c r="G32" s="420"/>
      <c r="H32" s="420"/>
      <c r="I32" s="434"/>
      <c r="J32" s="434"/>
      <c r="K32" s="434"/>
      <c r="L32" s="451"/>
      <c r="M32" s="342"/>
      <c r="N32" s="431"/>
      <c r="O32" s="420"/>
      <c r="P32" s="420"/>
      <c r="Q32" s="420"/>
      <c r="R32" s="420"/>
      <c r="S32" s="420"/>
      <c r="T32" s="420"/>
      <c r="U32" s="420"/>
      <c r="V32" s="420"/>
      <c r="W32" s="420"/>
      <c r="X32" s="420"/>
      <c r="Y32" s="420"/>
      <c r="Z32" s="433"/>
      <c r="AA32" s="433"/>
      <c r="AB32" s="433"/>
      <c r="AC32" s="420"/>
      <c r="AD32" s="432"/>
      <c r="AE32" s="388"/>
      <c r="AF32" s="431"/>
      <c r="AG32" s="420"/>
      <c r="AH32" s="420"/>
      <c r="AI32" s="420"/>
      <c r="AJ32" s="420"/>
      <c r="AK32" s="420"/>
      <c r="AL32" s="420"/>
      <c r="AM32" s="420"/>
      <c r="AN32" s="420"/>
      <c r="AO32" s="420"/>
      <c r="AP32" s="420"/>
      <c r="AQ32" s="420"/>
      <c r="AR32" s="420"/>
      <c r="AS32" s="420"/>
      <c r="AT32" s="420"/>
      <c r="AU32" s="420"/>
      <c r="AV32" s="43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row>
    <row r="33" spans="1:136" outlineLevel="1" x14ac:dyDescent="0.25">
      <c r="B33" s="435"/>
      <c r="C33" s="425"/>
      <c r="D33" s="425"/>
      <c r="E33" s="425"/>
      <c r="F33" s="425"/>
      <c r="G33" s="436"/>
      <c r="H33" s="427" t="s">
        <v>1</v>
      </c>
      <c r="I33" s="452"/>
      <c r="J33" s="449" t="s">
        <v>2</v>
      </c>
      <c r="K33" s="302">
        <f>G33*I33/100</f>
        <v>0</v>
      </c>
      <c r="L33" s="428" t="s">
        <v>1</v>
      </c>
      <c r="M33" s="342"/>
      <c r="N33" s="437" t="str">
        <f>IF(B33&lt;&gt;0,VLOOKUP(B33,GENERALITES!$B$36:$D$41,3,FALSE),"")</f>
        <v/>
      </c>
      <c r="O33" s="427" t="s">
        <v>0</v>
      </c>
      <c r="P33" s="438"/>
      <c r="Q33" s="438"/>
      <c r="R33" s="438"/>
      <c r="S33" s="438"/>
      <c r="T33" s="438"/>
      <c r="U33" s="438"/>
      <c r="V33" s="438"/>
      <c r="W33" s="438"/>
      <c r="X33" s="438"/>
      <c r="Y33" s="438"/>
      <c r="Z33" s="425"/>
      <c r="AA33" s="425"/>
      <c r="AB33" s="425"/>
      <c r="AC33" s="438"/>
      <c r="AD33" s="439"/>
      <c r="AE33" s="388"/>
      <c r="AF33" s="437" t="str">
        <f>IF(B33&lt;&gt;0,VLOOKUP(B33,GENERALITES!$B$36:$N$41,12,FALSE),"")</f>
        <v/>
      </c>
      <c r="AG33" s="427" t="s">
        <v>20</v>
      </c>
      <c r="AH33" s="438"/>
      <c r="AI33" s="438"/>
      <c r="AJ33" s="438"/>
      <c r="AK33" s="438"/>
      <c r="AL33" s="438"/>
      <c r="AM33" s="438"/>
      <c r="AN33" s="438"/>
      <c r="AO33" s="438"/>
      <c r="AP33" s="438"/>
      <c r="AQ33" s="438"/>
      <c r="AR33" s="425"/>
      <c r="AS33" s="425"/>
      <c r="AT33" s="425"/>
      <c r="AU33" s="438"/>
      <c r="AV33" s="439"/>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row>
    <row r="34" spans="1:136" outlineLevel="1" x14ac:dyDescent="0.25">
      <c r="B34" s="435"/>
      <c r="C34" s="425"/>
      <c r="D34" s="425"/>
      <c r="E34" s="425"/>
      <c r="F34" s="425"/>
      <c r="G34" s="436"/>
      <c r="H34" s="427" t="s">
        <v>1</v>
      </c>
      <c r="I34" s="452"/>
      <c r="J34" s="449" t="s">
        <v>2</v>
      </c>
      <c r="K34" s="302">
        <f>G34*I34/100</f>
        <v>0</v>
      </c>
      <c r="L34" s="428" t="s">
        <v>1</v>
      </c>
      <c r="M34" s="342"/>
      <c r="N34" s="437" t="str">
        <f>IF(B34&lt;&gt;0,VLOOKUP(B34,GENERALITES!$B$36:$D$41,3,FALSE),"")</f>
        <v/>
      </c>
      <c r="O34" s="427" t="s">
        <v>0</v>
      </c>
      <c r="P34" s="438"/>
      <c r="Q34" s="438"/>
      <c r="R34" s="438"/>
      <c r="S34" s="438"/>
      <c r="T34" s="438"/>
      <c r="U34" s="438"/>
      <c r="V34" s="438"/>
      <c r="W34" s="438"/>
      <c r="X34" s="438"/>
      <c r="Y34" s="438"/>
      <c r="Z34" s="425"/>
      <c r="AA34" s="425"/>
      <c r="AB34" s="425"/>
      <c r="AC34" s="438"/>
      <c r="AD34" s="439"/>
      <c r="AE34" s="388"/>
      <c r="AF34" s="437" t="str">
        <f>IF(B34&lt;&gt;0,VLOOKUP(B34,GENERALITES!$B$36:$N$41,12,FALSE),"")</f>
        <v/>
      </c>
      <c r="AG34" s="427" t="s">
        <v>20</v>
      </c>
      <c r="AH34" s="438"/>
      <c r="AI34" s="438"/>
      <c r="AJ34" s="438"/>
      <c r="AK34" s="438"/>
      <c r="AL34" s="438"/>
      <c r="AM34" s="438"/>
      <c r="AN34" s="438"/>
      <c r="AO34" s="438"/>
      <c r="AP34" s="438"/>
      <c r="AQ34" s="438"/>
      <c r="AR34" s="425"/>
      <c r="AS34" s="425"/>
      <c r="AT34" s="425"/>
      <c r="AU34" s="438"/>
      <c r="AV34" s="439"/>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row>
    <row r="35" spans="1:136" outlineLevel="1" x14ac:dyDescent="0.25">
      <c r="B35" s="435"/>
      <c r="C35" s="425"/>
      <c r="D35" s="425"/>
      <c r="E35" s="425"/>
      <c r="F35" s="425"/>
      <c r="G35" s="436"/>
      <c r="H35" s="427" t="s">
        <v>1</v>
      </c>
      <c r="I35" s="452"/>
      <c r="J35" s="449" t="s">
        <v>2</v>
      </c>
      <c r="K35" s="302">
        <f t="shared" ref="K35:K38" si="1">G35*I35/100</f>
        <v>0</v>
      </c>
      <c r="L35" s="428" t="s">
        <v>1</v>
      </c>
      <c r="M35" s="342"/>
      <c r="N35" s="437" t="str">
        <f>IF(B35&lt;&gt;0,VLOOKUP(B35,GENERALITES!$B$36:$D$41,3,FALSE),"")</f>
        <v/>
      </c>
      <c r="O35" s="427" t="s">
        <v>0</v>
      </c>
      <c r="P35" s="438"/>
      <c r="Q35" s="438"/>
      <c r="R35" s="438"/>
      <c r="S35" s="438"/>
      <c r="T35" s="438" t="s">
        <v>40</v>
      </c>
      <c r="U35" s="438"/>
      <c r="V35" s="438"/>
      <c r="W35" s="438"/>
      <c r="X35" s="438"/>
      <c r="Y35" s="438"/>
      <c r="Z35" s="425"/>
      <c r="AA35" s="425"/>
      <c r="AB35" s="425"/>
      <c r="AC35" s="438"/>
      <c r="AD35" s="439"/>
      <c r="AE35" s="388"/>
      <c r="AF35" s="437" t="str">
        <f>IF(B35&lt;&gt;0,VLOOKUP(B35,GENERALITES!$B$36:$N$41,12,FALSE),"")</f>
        <v/>
      </c>
      <c r="AG35" s="427" t="s">
        <v>20</v>
      </c>
      <c r="AH35" s="438"/>
      <c r="AI35" s="438"/>
      <c r="AJ35" s="438"/>
      <c r="AK35" s="438"/>
      <c r="AL35" s="438"/>
      <c r="AM35" s="438"/>
      <c r="AN35" s="438"/>
      <c r="AO35" s="438"/>
      <c r="AP35" s="438"/>
      <c r="AQ35" s="438"/>
      <c r="AR35" s="425"/>
      <c r="AS35" s="425"/>
      <c r="AT35" s="425"/>
      <c r="AU35" s="438"/>
      <c r="AV35" s="439"/>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row>
    <row r="36" spans="1:136"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38"/>
      <c r="S36" s="434"/>
      <c r="T36" s="438"/>
      <c r="U36" s="438"/>
      <c r="V36" s="438"/>
      <c r="W36" s="438"/>
      <c r="X36" s="438"/>
      <c r="Y36" s="438"/>
      <c r="Z36" s="425"/>
      <c r="AA36" s="425"/>
      <c r="AB36" s="425"/>
      <c r="AC36" s="438"/>
      <c r="AD36" s="439"/>
      <c r="AE36" s="388"/>
      <c r="AF36" s="437" t="str">
        <f>IF(B36&lt;&gt;0,VLOOKUP(B36,GENERALITES!$B$36:$N$41,12,FALSE),"")</f>
        <v/>
      </c>
      <c r="AG36" s="427" t="s">
        <v>20</v>
      </c>
      <c r="AH36" s="438"/>
      <c r="AI36" s="438"/>
      <c r="AJ36" s="438"/>
      <c r="AK36" s="438"/>
      <c r="AL36" s="438"/>
      <c r="AM36" s="438"/>
      <c r="AN36" s="438"/>
      <c r="AO36" s="438"/>
      <c r="AP36" s="438"/>
      <c r="AQ36" s="438"/>
      <c r="AR36" s="425"/>
      <c r="AS36" s="425"/>
      <c r="AT36" s="425"/>
      <c r="AU36" s="438"/>
      <c r="AV36" s="439"/>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row>
    <row r="37" spans="1:136"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38"/>
      <c r="S37" s="438"/>
      <c r="T37" s="438"/>
      <c r="U37" s="438"/>
      <c r="V37" s="438"/>
      <c r="W37" s="438"/>
      <c r="X37" s="438"/>
      <c r="Y37" s="438"/>
      <c r="Z37" s="425"/>
      <c r="AA37" s="425"/>
      <c r="AB37" s="425"/>
      <c r="AC37" s="438"/>
      <c r="AD37" s="439"/>
      <c r="AE37" s="388"/>
      <c r="AF37" s="437" t="str">
        <f>IF(B37&lt;&gt;0,VLOOKUP(B37,GENERALITES!$B$36:$N$41,12,FALSE),"")</f>
        <v/>
      </c>
      <c r="AG37" s="427" t="s">
        <v>20</v>
      </c>
      <c r="AH37" s="438"/>
      <c r="AI37" s="438"/>
      <c r="AJ37" s="438"/>
      <c r="AK37" s="438"/>
      <c r="AL37" s="438"/>
      <c r="AM37" s="438"/>
      <c r="AN37" s="438"/>
      <c r="AO37" s="438"/>
      <c r="AP37" s="438"/>
      <c r="AQ37" s="438"/>
      <c r="AR37" s="425"/>
      <c r="AS37" s="425"/>
      <c r="AT37" s="425"/>
      <c r="AU37" s="438"/>
      <c r="AV37" s="439"/>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row>
    <row r="38" spans="1:136"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38"/>
      <c r="S38" s="438"/>
      <c r="T38" s="438"/>
      <c r="U38" s="438"/>
      <c r="V38" s="438"/>
      <c r="W38" s="438"/>
      <c r="X38" s="438"/>
      <c r="Y38" s="438"/>
      <c r="Z38" s="425"/>
      <c r="AA38" s="425"/>
      <c r="AB38" s="425"/>
      <c r="AC38" s="438"/>
      <c r="AD38" s="439"/>
      <c r="AE38" s="388"/>
      <c r="AF38" s="437" t="str">
        <f>IF(B38&lt;&gt;0,VLOOKUP(B38,GENERALITES!$B$36:$N$41,12,FALSE),"")</f>
        <v/>
      </c>
      <c r="AG38" s="427" t="s">
        <v>20</v>
      </c>
      <c r="AH38" s="420"/>
      <c r="AI38" s="420"/>
      <c r="AJ38" s="420"/>
      <c r="AK38" s="420"/>
      <c r="AL38" s="420"/>
      <c r="AM38" s="420"/>
      <c r="AN38" s="420"/>
      <c r="AO38" s="420"/>
      <c r="AP38" s="420"/>
      <c r="AQ38" s="420"/>
      <c r="AR38" s="425"/>
      <c r="AS38" s="425"/>
      <c r="AT38" s="425"/>
      <c r="AU38" s="420"/>
      <c r="AV38" s="432"/>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row>
    <row r="39" spans="1:136" ht="15.75" thickBot="1" x14ac:dyDescent="0.3">
      <c r="A39" s="440"/>
      <c r="B39" s="477"/>
      <c r="C39" s="478"/>
      <c r="D39" s="478"/>
      <c r="E39" s="478"/>
      <c r="F39" s="478"/>
      <c r="G39" s="478"/>
      <c r="H39" s="478"/>
      <c r="I39" s="478"/>
      <c r="J39" s="478"/>
      <c r="K39" s="478"/>
      <c r="L39" s="479"/>
      <c r="M39" s="440"/>
      <c r="N39" s="477"/>
      <c r="O39" s="478"/>
      <c r="P39" s="478"/>
      <c r="Q39" s="478"/>
      <c r="R39" s="478"/>
      <c r="S39" s="478"/>
      <c r="T39" s="478"/>
      <c r="U39" s="478"/>
      <c r="V39" s="478"/>
      <c r="W39" s="478"/>
      <c r="X39" s="478"/>
      <c r="Y39" s="478"/>
      <c r="Z39" s="478"/>
      <c r="AA39" s="478"/>
      <c r="AB39" s="478"/>
      <c r="AC39" s="478"/>
      <c r="AD39" s="479"/>
      <c r="AE39" s="440"/>
      <c r="AF39" s="444"/>
      <c r="AG39" s="445"/>
      <c r="AH39" s="445"/>
      <c r="AI39" s="445"/>
      <c r="AJ39" s="445"/>
      <c r="AK39" s="445"/>
      <c r="AL39" s="445"/>
      <c r="AM39" s="445"/>
      <c r="AN39" s="445"/>
      <c r="AO39" s="445"/>
      <c r="AP39" s="445"/>
      <c r="AQ39" s="445"/>
      <c r="AR39" s="445"/>
      <c r="AS39" s="445"/>
      <c r="AT39" s="445"/>
      <c r="AU39" s="445"/>
      <c r="AV39" s="446"/>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row>
    <row r="40" spans="1:136" ht="30" customHeight="1" thickBot="1" x14ac:dyDescent="0.3">
      <c r="A40" s="388"/>
      <c r="B40" s="499" t="s">
        <v>62</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1"/>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row>
    <row r="41" spans="1:136"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row>
    <row r="42" spans="1:136" ht="21.75" customHeight="1" thickBot="1" x14ac:dyDescent="0.3">
      <c r="A42" s="440"/>
      <c r="B42" s="453" t="s">
        <v>27</v>
      </c>
      <c r="C42" s="454"/>
      <c r="D42" s="454"/>
      <c r="E42" s="454"/>
      <c r="F42" s="454"/>
      <c r="G42" s="454"/>
      <c r="H42" s="455"/>
      <c r="I42" s="456"/>
      <c r="J42" s="456"/>
      <c r="K42" s="456"/>
      <c r="L42" s="456"/>
      <c r="M42" s="456"/>
      <c r="N42" s="342"/>
      <c r="O42" s="342"/>
      <c r="P42" s="342"/>
      <c r="Q42" s="342"/>
      <c r="R42" s="342"/>
      <c r="S42" s="342"/>
      <c r="T42" s="342"/>
      <c r="U42" s="342"/>
      <c r="V42" s="342"/>
      <c r="W42" s="342"/>
      <c r="X42" s="342"/>
      <c r="Y42" s="342"/>
      <c r="Z42" s="342"/>
      <c r="AA42" s="342"/>
      <c r="AB42" s="342"/>
      <c r="AC42" s="342"/>
      <c r="AD42" s="342"/>
      <c r="AE42" s="440"/>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row>
    <row r="43" spans="1:136"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8"/>
      <c r="W43" s="458"/>
      <c r="X43" s="458"/>
      <c r="Y43" s="458"/>
      <c r="Z43" s="458"/>
      <c r="AA43" s="458"/>
      <c r="AB43" s="458"/>
      <c r="AC43" s="458"/>
      <c r="AD43" s="459"/>
      <c r="AE43" s="440"/>
      <c r="AF43" s="460"/>
      <c r="AG43" s="461"/>
      <c r="AH43" s="461"/>
      <c r="AI43" s="461"/>
      <c r="AJ43" s="461"/>
      <c r="AK43" s="461"/>
      <c r="AL43" s="461"/>
      <c r="AM43" s="461"/>
      <c r="AN43" s="461"/>
      <c r="AO43" s="461"/>
      <c r="AP43" s="461"/>
      <c r="AQ43" s="461"/>
      <c r="AR43" s="461"/>
      <c r="AS43" s="461"/>
      <c r="AT43" s="461"/>
      <c r="AU43" s="461"/>
      <c r="AV43" s="462"/>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row>
    <row r="44" spans="1:136"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289"/>
      <c r="W44" s="289"/>
      <c r="X44" s="289"/>
      <c r="Y44" s="289"/>
      <c r="Z44" s="289"/>
      <c r="AA44" s="289"/>
      <c r="AB44" s="289"/>
      <c r="AC44" s="289"/>
      <c r="AD44" s="419"/>
      <c r="AE44" s="388"/>
      <c r="AF44" s="418" t="s">
        <v>41</v>
      </c>
      <c r="AG44" s="289"/>
      <c r="AH44" s="289"/>
      <c r="AI44" s="289"/>
      <c r="AJ44" s="289"/>
      <c r="AK44" s="289"/>
      <c r="AL44" s="289"/>
      <c r="AM44" s="289"/>
      <c r="AN44" s="289"/>
      <c r="AO44" s="289"/>
      <c r="AP44" s="289"/>
      <c r="AQ44" s="289"/>
      <c r="AR44" s="289"/>
      <c r="AS44" s="289"/>
      <c r="AT44" s="289"/>
      <c r="AU44" s="289"/>
      <c r="AV44" s="419"/>
      <c r="AX44" s="342"/>
      <c r="AY44" s="342"/>
      <c r="AZ44" s="342"/>
      <c r="BA44" s="342"/>
      <c r="BB44" s="342"/>
      <c r="BC44" s="342"/>
      <c r="BD44" s="342"/>
      <c r="BE44" s="342"/>
      <c r="BF44" s="342"/>
      <c r="BG44" s="342"/>
      <c r="BH44" s="342"/>
      <c r="BI44" s="342"/>
      <c r="BJ44" s="342"/>
    </row>
    <row r="45" spans="1:136" ht="43.5" customHeight="1" outlineLevel="1" x14ac:dyDescent="0.25">
      <c r="A45" s="463"/>
      <c r="B45" s="464" t="s">
        <v>17</v>
      </c>
      <c r="C45" s="425"/>
      <c r="D45" s="425"/>
      <c r="E45" s="425"/>
      <c r="F45" s="425"/>
      <c r="G45" s="422" t="s">
        <v>443</v>
      </c>
      <c r="H45" s="270"/>
      <c r="I45" s="422" t="s">
        <v>444</v>
      </c>
      <c r="J45" s="447"/>
      <c r="K45" s="447"/>
      <c r="L45" s="401"/>
      <c r="M45" s="420"/>
      <c r="N45" s="269" t="s">
        <v>78</v>
      </c>
      <c r="O45" s="270"/>
      <c r="P45" s="422" t="s">
        <v>445</v>
      </c>
      <c r="Q45" s="270"/>
      <c r="R45" s="425"/>
      <c r="S45" s="422" t="s">
        <v>79</v>
      </c>
      <c r="T45" s="270"/>
      <c r="U45" s="422" t="s">
        <v>82</v>
      </c>
      <c r="V45" s="270"/>
      <c r="W45" s="425"/>
      <c r="X45" s="422" t="s">
        <v>446</v>
      </c>
      <c r="Y45" s="270"/>
      <c r="Z45" s="422" t="s">
        <v>447</v>
      </c>
      <c r="AA45" s="270"/>
      <c r="AB45" s="425"/>
      <c r="AC45" s="422" t="s">
        <v>448</v>
      </c>
      <c r="AD45" s="401"/>
      <c r="AE45" s="388"/>
      <c r="AF45" s="269" t="s">
        <v>41</v>
      </c>
      <c r="AG45" s="270"/>
      <c r="AH45" s="422" t="s">
        <v>449</v>
      </c>
      <c r="AI45" s="270"/>
      <c r="AJ45" s="425"/>
      <c r="AK45" s="422" t="s">
        <v>87</v>
      </c>
      <c r="AL45" s="270"/>
      <c r="AM45" s="422" t="s">
        <v>83</v>
      </c>
      <c r="AN45" s="270"/>
      <c r="AO45" s="425"/>
      <c r="AP45" s="422" t="s">
        <v>450</v>
      </c>
      <c r="AQ45" s="270"/>
      <c r="AR45" s="422" t="s">
        <v>451</v>
      </c>
      <c r="AS45" s="270"/>
      <c r="AT45" s="425"/>
      <c r="AU45" s="422" t="s">
        <v>452</v>
      </c>
      <c r="AV45" s="401"/>
      <c r="AX45" s="342"/>
      <c r="AY45" s="342"/>
      <c r="AZ45" s="342"/>
      <c r="BA45" s="342"/>
      <c r="BB45" s="342"/>
      <c r="BC45" s="342"/>
      <c r="BD45" s="342"/>
      <c r="BE45" s="342"/>
      <c r="BF45" s="342"/>
      <c r="BG45" s="342"/>
      <c r="BH45" s="342"/>
      <c r="BI45" s="342"/>
      <c r="BJ45" s="342"/>
    </row>
    <row r="46" spans="1:136" ht="15" customHeight="1" outlineLevel="1" x14ac:dyDescent="0.25">
      <c r="A46" s="463"/>
      <c r="B46" s="435" t="s">
        <v>18</v>
      </c>
      <c r="C46" s="425"/>
      <c r="D46" s="425"/>
      <c r="E46" s="425"/>
      <c r="F46" s="425"/>
      <c r="G46" s="469"/>
      <c r="H46" s="427" t="str">
        <f>GENERALITES!$D$13</f>
        <v>kWh</v>
      </c>
      <c r="I46" s="448">
        <f>$N$10</f>
        <v>0</v>
      </c>
      <c r="J46" s="449" t="s">
        <v>2</v>
      </c>
      <c r="K46" s="302">
        <f>IF(B46=Annexes!$B$3,G46*I46/100,SUMPRODUCT(G49:G52,I49:I52/100))</f>
        <v>0</v>
      </c>
      <c r="L46" s="428" t="str">
        <f>GENERALITES!$D$13</f>
        <v>kWh</v>
      </c>
      <c r="M46" s="420"/>
      <c r="N46" s="437">
        <f>GENERALITES!$D$46</f>
        <v>0.15</v>
      </c>
      <c r="O46" s="427" t="str">
        <f>GENERALITES!$E$46</f>
        <v>€ / kWh</v>
      </c>
      <c r="P46" s="302">
        <f>IF(B46=Annexes!$B$3,G46*N46,SUM(G49:G52)*N46)</f>
        <v>0</v>
      </c>
      <c r="Q46" s="427" t="s">
        <v>6</v>
      </c>
      <c r="R46" s="425"/>
      <c r="S46" s="302">
        <f>'ETAPE 5'!Z46</f>
        <v>0</v>
      </c>
      <c r="T46" s="427" t="s">
        <v>72</v>
      </c>
      <c r="U46" s="448">
        <f>S46*$B$10</f>
        <v>0</v>
      </c>
      <c r="V46" s="427" t="s">
        <v>6</v>
      </c>
      <c r="W46" s="425"/>
      <c r="X46" s="302">
        <f>P46+U46</f>
        <v>0</v>
      </c>
      <c r="Y46" s="427" t="s">
        <v>6</v>
      </c>
      <c r="Z46" s="302">
        <f>IF($E$10&lt;&gt;0,X46/$E$10,0)</f>
        <v>0</v>
      </c>
      <c r="AA46" s="427" t="s">
        <v>72</v>
      </c>
      <c r="AB46" s="425"/>
      <c r="AC46" s="302">
        <f>$N$10/100*U46+IF(B46=Annexes!$B$3,I46/100*P46,IF(SUM(G49:G52)&gt;0,K46/SUM(G49:G52)*P46,0))</f>
        <v>0</v>
      </c>
      <c r="AD46" s="428" t="s">
        <v>6</v>
      </c>
      <c r="AE46" s="388"/>
      <c r="AF46" s="437">
        <f>GENERALITES!$M$46</f>
        <v>7.85E-4</v>
      </c>
      <c r="AG46" s="427" t="str">
        <f>GENERALITES!$N$46</f>
        <v>TCO2 / kWh</v>
      </c>
      <c r="AH46" s="302">
        <f>IF(B46=Annexes!$B$3,G46*AF46,SUM(G49:G52)*AF46)</f>
        <v>0</v>
      </c>
      <c r="AI46" s="427" t="s">
        <v>21</v>
      </c>
      <c r="AJ46" s="425"/>
      <c r="AK46" s="302">
        <f>'ETAPE 5'!AR46</f>
        <v>0</v>
      </c>
      <c r="AL46" s="427" t="s">
        <v>73</v>
      </c>
      <c r="AM46" s="448">
        <f>AK46*$B$10</f>
        <v>0</v>
      </c>
      <c r="AN46" s="427" t="s">
        <v>21</v>
      </c>
      <c r="AO46" s="425"/>
      <c r="AP46" s="302">
        <f>AH46+AM46</f>
        <v>0</v>
      </c>
      <c r="AQ46" s="427" t="s">
        <v>21</v>
      </c>
      <c r="AR46" s="302">
        <f>IF($E$10&lt;&gt;0,AP46/$E$10,0)</f>
        <v>0</v>
      </c>
      <c r="AS46" s="427" t="s">
        <v>73</v>
      </c>
      <c r="AT46" s="425"/>
      <c r="AU46" s="302">
        <f>$N$10/100*AM46+IF(B46=Annexes!$B$3,I46/100*AH46,IF(SUM(G49:G52)&gt;0,K46/SUM(G49:G52)*AH46,0))</f>
        <v>0</v>
      </c>
      <c r="AV46" s="428" t="s">
        <v>21</v>
      </c>
      <c r="AX46" s="342"/>
      <c r="AY46" s="342"/>
      <c r="AZ46" s="342"/>
      <c r="BA46" s="342"/>
      <c r="BB46" s="342"/>
      <c r="BC46" s="342"/>
      <c r="BD46" s="342"/>
      <c r="BE46" s="342"/>
      <c r="BF46" s="342"/>
      <c r="BG46" s="342"/>
      <c r="BH46" s="342"/>
      <c r="BI46" s="342"/>
      <c r="BJ46" s="342"/>
    </row>
    <row r="47" spans="1:136"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20"/>
      <c r="W47" s="420"/>
      <c r="X47" s="420"/>
      <c r="Y47" s="420"/>
      <c r="Z47" s="420"/>
      <c r="AA47" s="420"/>
      <c r="AB47" s="420"/>
      <c r="AC47" s="420"/>
      <c r="AD47" s="432"/>
      <c r="AE47" s="388"/>
      <c r="AF47" s="431"/>
      <c r="AG47" s="420"/>
      <c r="AH47" s="420"/>
      <c r="AI47" s="420"/>
      <c r="AJ47" s="420"/>
      <c r="AK47" s="420"/>
      <c r="AL47" s="420"/>
      <c r="AM47" s="420"/>
      <c r="AN47" s="420"/>
      <c r="AO47" s="420"/>
      <c r="AP47" s="420"/>
      <c r="AQ47" s="420"/>
      <c r="AR47" s="420"/>
      <c r="AS47" s="420"/>
      <c r="AT47" s="420"/>
      <c r="AU47" s="420"/>
      <c r="AV47" s="43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row>
    <row r="48" spans="1:136" ht="15" customHeight="1" outlineLevel="1" x14ac:dyDescent="0.25">
      <c r="A48" s="463"/>
      <c r="B48" s="464" t="s">
        <v>7</v>
      </c>
      <c r="C48" s="425"/>
      <c r="D48" s="425"/>
      <c r="E48" s="425"/>
      <c r="F48" s="425"/>
      <c r="G48" s="425"/>
      <c r="H48" s="425"/>
      <c r="I48" s="434"/>
      <c r="J48" s="434"/>
      <c r="K48" s="425"/>
      <c r="L48" s="470"/>
      <c r="M48" s="420"/>
      <c r="N48" s="471"/>
      <c r="O48" s="425"/>
      <c r="P48" s="425"/>
      <c r="Q48" s="425"/>
      <c r="R48" s="425"/>
      <c r="S48" s="425"/>
      <c r="T48" s="425"/>
      <c r="U48" s="425"/>
      <c r="V48" s="425"/>
      <c r="W48" s="425"/>
      <c r="X48" s="425"/>
      <c r="Y48" s="425"/>
      <c r="Z48" s="433"/>
      <c r="AA48" s="433"/>
      <c r="AB48" s="433"/>
      <c r="AC48" s="420"/>
      <c r="AD48" s="432"/>
      <c r="AE48" s="388"/>
      <c r="AF48" s="431"/>
      <c r="AG48" s="420"/>
      <c r="AH48" s="420"/>
      <c r="AI48" s="420"/>
      <c r="AJ48" s="420"/>
      <c r="AK48" s="420"/>
      <c r="AL48" s="420"/>
      <c r="AM48" s="420"/>
      <c r="AN48" s="420"/>
      <c r="AO48" s="420"/>
      <c r="AP48" s="420"/>
      <c r="AQ48" s="420"/>
      <c r="AR48" s="420"/>
      <c r="AS48" s="420"/>
      <c r="AT48" s="420"/>
      <c r="AU48" s="420"/>
      <c r="AV48" s="432"/>
    </row>
    <row r="49" spans="1:136" outlineLevel="1" x14ac:dyDescent="0.25">
      <c r="A49" s="463"/>
      <c r="B49" s="472"/>
      <c r="C49" s="425"/>
      <c r="D49" s="425"/>
      <c r="E49" s="425"/>
      <c r="F49" s="425"/>
      <c r="G49" s="473"/>
      <c r="H49" s="427" t="str">
        <f>GENERALITES!$D$13</f>
        <v>kWh</v>
      </c>
      <c r="I49" s="436"/>
      <c r="J49" s="430" t="s">
        <v>2</v>
      </c>
      <c r="K49" s="425"/>
      <c r="L49" s="470"/>
      <c r="M49" s="420"/>
      <c r="N49" s="471"/>
      <c r="O49" s="425"/>
      <c r="P49" s="425"/>
      <c r="Q49" s="425"/>
      <c r="R49" s="425"/>
      <c r="S49" s="425"/>
      <c r="T49" s="425"/>
      <c r="U49" s="425"/>
      <c r="V49" s="425"/>
      <c r="W49" s="425"/>
      <c r="X49" s="425"/>
      <c r="Y49" s="425"/>
      <c r="Z49" s="475"/>
      <c r="AA49" s="475"/>
      <c r="AB49" s="475"/>
      <c r="AC49" s="420"/>
      <c r="AD49" s="432"/>
      <c r="AE49" s="388"/>
      <c r="AF49" s="431"/>
      <c r="AG49" s="420"/>
      <c r="AH49" s="420"/>
      <c r="AI49" s="420"/>
      <c r="AJ49" s="420"/>
      <c r="AK49" s="420"/>
      <c r="AL49" s="420"/>
      <c r="AM49" s="420"/>
      <c r="AN49" s="420"/>
      <c r="AO49" s="420"/>
      <c r="AP49" s="420"/>
      <c r="AQ49" s="420"/>
      <c r="AR49" s="420"/>
      <c r="AS49" s="420"/>
      <c r="AT49" s="420"/>
      <c r="AU49" s="420"/>
      <c r="AV49" s="432"/>
    </row>
    <row r="50" spans="1:136" outlineLevel="1" x14ac:dyDescent="0.25">
      <c r="A50" s="463"/>
      <c r="B50" s="472"/>
      <c r="C50" s="425"/>
      <c r="D50" s="425"/>
      <c r="E50" s="425"/>
      <c r="F50" s="425"/>
      <c r="G50" s="473"/>
      <c r="H50" s="427" t="str">
        <f>GENERALITES!$D$13</f>
        <v>kWh</v>
      </c>
      <c r="I50" s="436"/>
      <c r="J50" s="430" t="s">
        <v>2</v>
      </c>
      <c r="K50" s="425"/>
      <c r="L50" s="470"/>
      <c r="M50" s="420"/>
      <c r="N50" s="471"/>
      <c r="O50" s="425"/>
      <c r="P50" s="425"/>
      <c r="Q50" s="425"/>
      <c r="R50" s="425"/>
      <c r="S50" s="425"/>
      <c r="T50" s="425"/>
      <c r="U50" s="425"/>
      <c r="V50" s="425"/>
      <c r="W50" s="425"/>
      <c r="X50" s="425"/>
      <c r="Y50" s="425"/>
      <c r="Z50" s="433"/>
      <c r="AA50" s="433"/>
      <c r="AB50" s="433"/>
      <c r="AC50" s="420"/>
      <c r="AD50" s="432"/>
      <c r="AE50" s="388"/>
      <c r="AF50" s="431"/>
      <c r="AG50" s="420"/>
      <c r="AH50" s="420"/>
      <c r="AI50" s="420"/>
      <c r="AJ50" s="420"/>
      <c r="AK50" s="420"/>
      <c r="AL50" s="420"/>
      <c r="AM50" s="420"/>
      <c r="AN50" s="420"/>
      <c r="AO50" s="420"/>
      <c r="AP50" s="420"/>
      <c r="AQ50" s="420"/>
      <c r="AR50" s="420"/>
      <c r="AS50" s="420"/>
      <c r="AT50" s="420"/>
      <c r="AU50" s="420"/>
      <c r="AV50" s="432"/>
    </row>
    <row r="51" spans="1:136" outlineLevel="1" x14ac:dyDescent="0.25">
      <c r="A51" s="463"/>
      <c r="B51" s="472"/>
      <c r="C51" s="425"/>
      <c r="D51" s="425"/>
      <c r="E51" s="425"/>
      <c r="F51" s="425"/>
      <c r="G51" s="473"/>
      <c r="H51" s="427" t="str">
        <f>GENERALITES!$D$13</f>
        <v>kWh</v>
      </c>
      <c r="I51" s="436"/>
      <c r="J51" s="430" t="s">
        <v>2</v>
      </c>
      <c r="K51" s="425"/>
      <c r="L51" s="470"/>
      <c r="M51" s="420"/>
      <c r="N51" s="471"/>
      <c r="O51" s="425"/>
      <c r="P51" s="425"/>
      <c r="Q51" s="425"/>
      <c r="R51" s="425"/>
      <c r="S51" s="425"/>
      <c r="T51" s="425"/>
      <c r="U51" s="425"/>
      <c r="V51" s="425"/>
      <c r="W51" s="425"/>
      <c r="X51" s="425"/>
      <c r="Y51" s="425"/>
      <c r="Z51" s="433"/>
      <c r="AA51" s="433"/>
      <c r="AB51" s="433"/>
      <c r="AC51" s="420"/>
      <c r="AD51" s="439"/>
      <c r="AE51" s="476"/>
      <c r="AF51" s="431"/>
      <c r="AG51" s="420"/>
      <c r="AH51" s="420"/>
      <c r="AI51" s="420"/>
      <c r="AJ51" s="420"/>
      <c r="AK51" s="420"/>
      <c r="AL51" s="420"/>
      <c r="AM51" s="420"/>
      <c r="AN51" s="420"/>
      <c r="AO51" s="420"/>
      <c r="AP51" s="420"/>
      <c r="AQ51" s="420"/>
      <c r="AR51" s="420"/>
      <c r="AS51" s="420"/>
      <c r="AT51" s="420"/>
      <c r="AU51" s="420"/>
      <c r="AV51" s="432"/>
    </row>
    <row r="52" spans="1:136" outlineLevel="1" x14ac:dyDescent="0.25">
      <c r="B52" s="472"/>
      <c r="C52" s="425"/>
      <c r="D52" s="425"/>
      <c r="E52" s="425"/>
      <c r="F52" s="425"/>
      <c r="G52" s="473"/>
      <c r="H52" s="427" t="str">
        <f>GENERALITES!$D$13</f>
        <v>kWh</v>
      </c>
      <c r="I52" s="436"/>
      <c r="J52" s="430" t="s">
        <v>2</v>
      </c>
      <c r="K52" s="425"/>
      <c r="L52" s="470"/>
      <c r="M52" s="420"/>
      <c r="N52" s="471"/>
      <c r="O52" s="425"/>
      <c r="P52" s="425"/>
      <c r="Q52" s="425"/>
      <c r="R52" s="425"/>
      <c r="S52" s="425"/>
      <c r="T52" s="425"/>
      <c r="U52" s="425"/>
      <c r="V52" s="425"/>
      <c r="W52" s="425"/>
      <c r="X52" s="425"/>
      <c r="Y52" s="425"/>
      <c r="Z52" s="433"/>
      <c r="AA52" s="433"/>
      <c r="AB52" s="433"/>
      <c r="AC52" s="420"/>
      <c r="AD52" s="439"/>
      <c r="AE52" s="476"/>
      <c r="AF52" s="431"/>
      <c r="AG52" s="420"/>
      <c r="AH52" s="420"/>
      <c r="AI52" s="420"/>
      <c r="AJ52" s="420"/>
      <c r="AK52" s="420"/>
      <c r="AL52" s="420"/>
      <c r="AM52" s="420"/>
      <c r="AN52" s="420"/>
      <c r="AO52" s="420"/>
      <c r="AP52" s="420"/>
      <c r="AQ52" s="420"/>
      <c r="AR52" s="420"/>
      <c r="AS52" s="420"/>
      <c r="AT52" s="420"/>
      <c r="AU52" s="420"/>
      <c r="AV52" s="432"/>
    </row>
    <row r="53" spans="1:136"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8"/>
      <c r="W53" s="478"/>
      <c r="X53" s="478"/>
      <c r="Y53" s="478"/>
      <c r="Z53" s="478"/>
      <c r="AA53" s="478"/>
      <c r="AB53" s="478"/>
      <c r="AC53" s="478"/>
      <c r="AD53" s="479"/>
      <c r="AE53" s="440"/>
      <c r="AF53" s="444"/>
      <c r="AG53" s="445"/>
      <c r="AH53" s="445"/>
      <c r="AI53" s="445"/>
      <c r="AJ53" s="445"/>
      <c r="AK53" s="445"/>
      <c r="AL53" s="445"/>
      <c r="AM53" s="445"/>
      <c r="AN53" s="445"/>
      <c r="AO53" s="445"/>
      <c r="AP53" s="445"/>
      <c r="AQ53" s="445"/>
      <c r="AR53" s="445"/>
      <c r="AS53" s="445"/>
      <c r="AT53" s="445"/>
      <c r="AU53" s="445"/>
      <c r="AV53" s="446"/>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c r="DQ53" s="388"/>
      <c r="DR53" s="388"/>
      <c r="DS53" s="388"/>
      <c r="DT53" s="388"/>
      <c r="DU53" s="388"/>
      <c r="DV53" s="388"/>
      <c r="DW53" s="388"/>
      <c r="DX53" s="388"/>
      <c r="DY53" s="388"/>
      <c r="DZ53" s="388"/>
      <c r="EA53" s="388"/>
      <c r="EB53" s="388"/>
      <c r="EC53" s="388"/>
      <c r="ED53" s="388"/>
      <c r="EE53" s="388"/>
      <c r="EF53" s="388"/>
    </row>
    <row r="54" spans="1:136" ht="21.75" customHeight="1" thickBot="1" x14ac:dyDescent="0.3">
      <c r="A54" s="440"/>
      <c r="B54" s="508" t="s">
        <v>28</v>
      </c>
      <c r="C54" s="509"/>
      <c r="D54" s="509"/>
      <c r="E54" s="509"/>
      <c r="F54" s="509"/>
      <c r="G54" s="509"/>
      <c r="H54" s="510"/>
      <c r="I54" s="342"/>
      <c r="J54" s="342"/>
      <c r="K54" s="342"/>
      <c r="L54" s="342"/>
      <c r="M54" s="342"/>
      <c r="N54" s="342"/>
      <c r="O54" s="342"/>
      <c r="P54" s="342"/>
      <c r="Q54" s="342"/>
      <c r="R54" s="342"/>
      <c r="S54" s="342"/>
      <c r="T54" s="342"/>
      <c r="U54" s="342"/>
      <c r="V54" s="342"/>
      <c r="W54" s="342"/>
      <c r="X54" s="342"/>
      <c r="Y54" s="342"/>
      <c r="Z54" s="342"/>
      <c r="AA54" s="342"/>
      <c r="AB54" s="342"/>
      <c r="AC54" s="342"/>
      <c r="AD54" s="342"/>
      <c r="AE54" s="440"/>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c r="DQ54" s="388"/>
      <c r="DR54" s="388"/>
      <c r="DS54" s="388"/>
      <c r="DT54" s="388"/>
      <c r="DU54" s="388"/>
      <c r="DV54" s="388"/>
      <c r="DW54" s="388"/>
      <c r="DX54" s="388"/>
      <c r="DY54" s="388"/>
      <c r="DZ54" s="388"/>
      <c r="EA54" s="388"/>
      <c r="EB54" s="388"/>
      <c r="EC54" s="388"/>
      <c r="ED54" s="388"/>
      <c r="EE54" s="388"/>
      <c r="EF54" s="388"/>
    </row>
    <row r="55" spans="1:136" ht="15.75" outlineLevel="1" thickBot="1" x14ac:dyDescent="0.3">
      <c r="B55" s="412"/>
      <c r="C55" s="413"/>
      <c r="D55" s="413"/>
      <c r="E55" s="413"/>
      <c r="F55" s="413"/>
      <c r="G55" s="413"/>
      <c r="H55" s="413"/>
      <c r="I55" s="413"/>
      <c r="J55" s="413"/>
      <c r="K55" s="413"/>
      <c r="L55" s="414"/>
      <c r="N55" s="412"/>
      <c r="O55" s="413"/>
      <c r="P55" s="413"/>
      <c r="Q55" s="413"/>
      <c r="R55" s="413"/>
      <c r="S55" s="413"/>
      <c r="T55" s="413"/>
      <c r="U55" s="413"/>
      <c r="V55" s="413"/>
      <c r="W55" s="413"/>
      <c r="X55" s="413"/>
      <c r="Y55" s="413"/>
      <c r="Z55" s="413"/>
      <c r="AA55" s="413"/>
      <c r="AB55" s="413"/>
      <c r="AC55" s="413"/>
      <c r="AD55" s="414"/>
      <c r="AF55" s="412"/>
      <c r="AG55" s="413"/>
      <c r="AH55" s="413"/>
      <c r="AI55" s="413"/>
      <c r="AJ55" s="413"/>
      <c r="AK55" s="413"/>
      <c r="AL55" s="413"/>
      <c r="AM55" s="413"/>
      <c r="AN55" s="413"/>
      <c r="AO55" s="413"/>
      <c r="AP55" s="413"/>
      <c r="AQ55" s="413"/>
      <c r="AR55" s="413"/>
      <c r="AS55" s="413"/>
      <c r="AT55" s="413"/>
      <c r="AU55" s="413"/>
      <c r="AV55" s="414"/>
    </row>
    <row r="56" spans="1:136" ht="15" customHeight="1" outlineLevel="1" thickBot="1" x14ac:dyDescent="0.3">
      <c r="B56" s="511" t="s">
        <v>48</v>
      </c>
      <c r="C56" s="512"/>
      <c r="D56" s="512"/>
      <c r="E56" s="512"/>
      <c r="F56" s="512"/>
      <c r="G56" s="512"/>
      <c r="H56" s="512"/>
      <c r="I56" s="512"/>
      <c r="J56" s="512"/>
      <c r="K56" s="512"/>
      <c r="L56" s="513"/>
      <c r="M56" s="433"/>
      <c r="N56" s="418" t="s">
        <v>49</v>
      </c>
      <c r="O56" s="289"/>
      <c r="P56" s="289"/>
      <c r="Q56" s="289"/>
      <c r="R56" s="289"/>
      <c r="S56" s="289"/>
      <c r="T56" s="289"/>
      <c r="U56" s="289"/>
      <c r="V56" s="289"/>
      <c r="W56" s="289"/>
      <c r="X56" s="289"/>
      <c r="Y56" s="289"/>
      <c r="Z56" s="289"/>
      <c r="AA56" s="289"/>
      <c r="AB56" s="289"/>
      <c r="AC56" s="289"/>
      <c r="AD56" s="419"/>
      <c r="AE56" s="388"/>
      <c r="AF56" s="418" t="s">
        <v>42</v>
      </c>
      <c r="AG56" s="289"/>
      <c r="AH56" s="289"/>
      <c r="AI56" s="289"/>
      <c r="AJ56" s="289"/>
      <c r="AK56" s="289"/>
      <c r="AL56" s="289"/>
      <c r="AM56" s="289"/>
      <c r="AN56" s="289"/>
      <c r="AO56" s="289"/>
      <c r="AP56" s="289"/>
      <c r="AQ56" s="289"/>
      <c r="AR56" s="289"/>
      <c r="AS56" s="289"/>
      <c r="AT56" s="289"/>
      <c r="AU56" s="289"/>
      <c r="AV56" s="419"/>
      <c r="AX56" s="342"/>
      <c r="AY56" s="342"/>
      <c r="AZ56" s="342"/>
      <c r="BA56" s="342"/>
      <c r="BB56" s="342"/>
      <c r="BC56" s="342"/>
      <c r="BD56" s="342"/>
      <c r="BE56" s="342"/>
      <c r="BF56" s="342"/>
      <c r="BG56" s="342"/>
      <c r="BH56" s="342"/>
      <c r="BI56" s="342"/>
      <c r="BJ56" s="342"/>
    </row>
    <row r="57" spans="1:136" ht="43.5" customHeight="1" outlineLevel="1" x14ac:dyDescent="0.25">
      <c r="B57" s="486" t="s">
        <v>17</v>
      </c>
      <c r="C57" s="425"/>
      <c r="D57" s="425"/>
      <c r="E57" s="425"/>
      <c r="F57" s="425"/>
      <c r="G57" s="489" t="s">
        <v>453</v>
      </c>
      <c r="H57" s="466"/>
      <c r="I57" s="489" t="s">
        <v>454</v>
      </c>
      <c r="J57" s="492"/>
      <c r="K57" s="492"/>
      <c r="L57" s="490"/>
      <c r="M57" s="420"/>
      <c r="N57" s="269" t="s">
        <v>84</v>
      </c>
      <c r="O57" s="270"/>
      <c r="P57" s="422" t="s">
        <v>455</v>
      </c>
      <c r="Q57" s="270"/>
      <c r="R57" s="425"/>
      <c r="S57" s="422" t="s">
        <v>85</v>
      </c>
      <c r="T57" s="270"/>
      <c r="U57" s="422" t="s">
        <v>86</v>
      </c>
      <c r="V57" s="270"/>
      <c r="W57" s="425"/>
      <c r="X57" s="422" t="s">
        <v>456</v>
      </c>
      <c r="Y57" s="270"/>
      <c r="Z57" s="422" t="s">
        <v>457</v>
      </c>
      <c r="AA57" s="270"/>
      <c r="AB57" s="425"/>
      <c r="AC57" s="422" t="s">
        <v>458</v>
      </c>
      <c r="AD57" s="401"/>
      <c r="AE57" s="388"/>
      <c r="AF57" s="269" t="s">
        <v>42</v>
      </c>
      <c r="AG57" s="270"/>
      <c r="AH57" s="422" t="s">
        <v>459</v>
      </c>
      <c r="AI57" s="270"/>
      <c r="AJ57" s="425"/>
      <c r="AK57" s="422" t="s">
        <v>88</v>
      </c>
      <c r="AL57" s="270"/>
      <c r="AM57" s="422" t="s">
        <v>90</v>
      </c>
      <c r="AN57" s="270"/>
      <c r="AO57" s="425"/>
      <c r="AP57" s="422" t="s">
        <v>460</v>
      </c>
      <c r="AQ57" s="270"/>
      <c r="AR57" s="422" t="s">
        <v>461</v>
      </c>
      <c r="AS57" s="270"/>
      <c r="AT57" s="425"/>
      <c r="AU57" s="422" t="s">
        <v>462</v>
      </c>
      <c r="AV57" s="401"/>
      <c r="AX57" s="342"/>
      <c r="AY57" s="342"/>
      <c r="AZ57" s="342"/>
      <c r="BA57" s="342"/>
      <c r="BB57" s="342"/>
      <c r="BC57" s="342"/>
      <c r="BD57" s="342"/>
      <c r="BE57" s="342"/>
      <c r="BF57" s="342"/>
      <c r="BG57" s="342"/>
      <c r="BH57" s="342"/>
      <c r="BI57" s="342"/>
      <c r="BJ57" s="342"/>
    </row>
    <row r="58" spans="1:136" outlineLevel="1" x14ac:dyDescent="0.25">
      <c r="B58" s="435" t="s">
        <v>18</v>
      </c>
      <c r="C58" s="425"/>
      <c r="D58" s="425"/>
      <c r="E58" s="425"/>
      <c r="F58" s="425"/>
      <c r="G58" s="469"/>
      <c r="H58" s="427" t="str">
        <f>GENERALITES!$D$14</f>
        <v>kg</v>
      </c>
      <c r="I58" s="448">
        <f>$N$10</f>
        <v>0</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425"/>
      <c r="S58" s="302">
        <f>'ETAPE 5'!Z58</f>
        <v>0</v>
      </c>
      <c r="T58" s="427" t="s">
        <v>72</v>
      </c>
      <c r="U58" s="302">
        <f>S58*$B$10</f>
        <v>0</v>
      </c>
      <c r="V58" s="427" t="s">
        <v>6</v>
      </c>
      <c r="W58" s="425"/>
      <c r="X58" s="302">
        <f>P58+U58</f>
        <v>0</v>
      </c>
      <c r="Y58" s="427" t="s">
        <v>6</v>
      </c>
      <c r="Z58" s="302">
        <f>IF($E$10&lt;&gt;0,X58/$E$10,0)</f>
        <v>0</v>
      </c>
      <c r="AA58" s="427" t="s">
        <v>72</v>
      </c>
      <c r="AB58" s="425"/>
      <c r="AC58" s="302">
        <f>$N$10/100*U58+IF(B58=Annexes!$B$3,I58/100*P58,IF(SUM(G61:G64)&gt;0,K58/SUM(G61:G64)*P58,0))</f>
        <v>0</v>
      </c>
      <c r="AD58" s="428" t="s">
        <v>6</v>
      </c>
      <c r="AE58" s="388"/>
      <c r="AF58" s="437">
        <f>GENERALITES!$M$47</f>
        <v>0</v>
      </c>
      <c r="AG58" s="427" t="str">
        <f>GENERALITES!$N$47</f>
        <v>TCO2 / kg</v>
      </c>
      <c r="AH58" s="302">
        <f>IF(B58=Annexes!$B$3,G58*AF58,SUM(G61:G64)*AF58)</f>
        <v>0</v>
      </c>
      <c r="AI58" s="427" t="s">
        <v>21</v>
      </c>
      <c r="AJ58" s="425"/>
      <c r="AK58" s="302">
        <f>'ETAPE 5'!AR58</f>
        <v>0</v>
      </c>
      <c r="AL58" s="427" t="s">
        <v>73</v>
      </c>
      <c r="AM58" s="302">
        <f>AK58*$B$10</f>
        <v>0</v>
      </c>
      <c r="AN58" s="427" t="s">
        <v>21</v>
      </c>
      <c r="AO58" s="425"/>
      <c r="AP58" s="302">
        <f>AH58+AM58</f>
        <v>0</v>
      </c>
      <c r="AQ58" s="427" t="s">
        <v>21</v>
      </c>
      <c r="AR58" s="302">
        <f>IF($E$10&lt;&gt;0,AP58/$E$10,0)</f>
        <v>0</v>
      </c>
      <c r="AS58" s="427" t="s">
        <v>73</v>
      </c>
      <c r="AT58" s="425"/>
      <c r="AU58" s="302">
        <f>$N$10/100*AM58+IF(B58=Annexes!$B$3,I58/100*AH58,IF(SUM(G61:G64)&gt;0,K58/SUM(G61:G64)*AH58,0))</f>
        <v>0</v>
      </c>
      <c r="AV58" s="428" t="s">
        <v>21</v>
      </c>
      <c r="AX58" s="342"/>
      <c r="AY58" s="342"/>
      <c r="AZ58" s="342"/>
      <c r="BA58" s="342"/>
      <c r="BB58" s="342"/>
      <c r="BC58" s="342"/>
      <c r="BD58" s="342"/>
      <c r="BE58" s="342"/>
      <c r="BF58" s="342"/>
      <c r="BG58" s="342"/>
      <c r="BH58" s="342"/>
      <c r="BI58" s="342"/>
      <c r="BJ58" s="342"/>
    </row>
    <row r="59" spans="1:136" outlineLevel="1" x14ac:dyDescent="0.25">
      <c r="B59" s="431"/>
      <c r="C59" s="425"/>
      <c r="D59" s="425"/>
      <c r="E59" s="425"/>
      <c r="F59" s="425"/>
      <c r="G59" s="420"/>
      <c r="H59" s="420"/>
      <c r="I59" s="420"/>
      <c r="J59" s="420"/>
      <c r="K59" s="420"/>
      <c r="L59" s="432"/>
      <c r="M59" s="420"/>
      <c r="N59" s="514"/>
      <c r="O59" s="420"/>
      <c r="P59" s="515"/>
      <c r="Q59" s="420"/>
      <c r="R59" s="425"/>
      <c r="S59" s="516"/>
      <c r="T59" s="420"/>
      <c r="U59" s="515"/>
      <c r="V59" s="420"/>
      <c r="W59" s="425"/>
      <c r="X59" s="515"/>
      <c r="Y59" s="420"/>
      <c r="Z59" s="515"/>
      <c r="AA59" s="420"/>
      <c r="AB59" s="425"/>
      <c r="AC59" s="517"/>
      <c r="AD59" s="432"/>
      <c r="AE59" s="388"/>
      <c r="AF59" s="514"/>
      <c r="AG59" s="420"/>
      <c r="AH59" s="515"/>
      <c r="AI59" s="420"/>
      <c r="AJ59" s="425"/>
      <c r="AK59" s="516"/>
      <c r="AL59" s="420"/>
      <c r="AM59" s="515"/>
      <c r="AN59" s="420"/>
      <c r="AO59" s="425"/>
      <c r="AP59" s="515"/>
      <c r="AQ59" s="420"/>
      <c r="AR59" s="515"/>
      <c r="AS59" s="420"/>
      <c r="AT59" s="425"/>
      <c r="AU59" s="518"/>
      <c r="AV59" s="432"/>
      <c r="AX59" s="342"/>
      <c r="AY59" s="342"/>
      <c r="AZ59" s="342"/>
      <c r="BA59" s="342"/>
      <c r="BB59" s="342"/>
      <c r="BC59" s="342"/>
      <c r="BD59" s="342"/>
      <c r="BE59" s="342"/>
      <c r="BF59" s="342"/>
      <c r="BG59" s="342"/>
      <c r="BH59" s="342"/>
      <c r="BI59" s="342"/>
      <c r="BJ59" s="342"/>
    </row>
    <row r="60" spans="1:136" outlineLevel="1" x14ac:dyDescent="0.25">
      <c r="B60" s="464" t="s">
        <v>7</v>
      </c>
      <c r="C60" s="425"/>
      <c r="D60" s="425"/>
      <c r="E60" s="425"/>
      <c r="F60" s="425"/>
      <c r="G60" s="519"/>
      <c r="H60" s="519"/>
      <c r="I60" s="434"/>
      <c r="J60" s="434"/>
      <c r="K60" s="425"/>
      <c r="L60" s="470"/>
      <c r="M60" s="420"/>
      <c r="N60" s="514"/>
      <c r="O60" s="420"/>
      <c r="P60" s="515"/>
      <c r="Q60" s="420"/>
      <c r="R60" s="425"/>
      <c r="S60" s="516"/>
      <c r="T60" s="420"/>
      <c r="U60" s="515"/>
      <c r="V60" s="420"/>
      <c r="W60" s="425"/>
      <c r="X60" s="515"/>
      <c r="Y60" s="420"/>
      <c r="Z60" s="515"/>
      <c r="AA60" s="420"/>
      <c r="AB60" s="425"/>
      <c r="AC60" s="517"/>
      <c r="AD60" s="432"/>
      <c r="AE60" s="388"/>
      <c r="AF60" s="514"/>
      <c r="AG60" s="420"/>
      <c r="AH60" s="515"/>
      <c r="AI60" s="420"/>
      <c r="AJ60" s="425"/>
      <c r="AK60" s="516"/>
      <c r="AL60" s="420"/>
      <c r="AM60" s="515"/>
      <c r="AN60" s="420"/>
      <c r="AO60" s="425"/>
      <c r="AP60" s="515"/>
      <c r="AQ60" s="420"/>
      <c r="AR60" s="515"/>
      <c r="AS60" s="420"/>
      <c r="AT60" s="425"/>
      <c r="AU60" s="518"/>
      <c r="AV60" s="432"/>
      <c r="AX60" s="342"/>
      <c r="AY60" s="342"/>
      <c r="AZ60" s="342"/>
      <c r="BA60" s="342"/>
      <c r="BB60" s="342"/>
      <c r="BC60" s="342"/>
      <c r="BD60" s="342"/>
      <c r="BE60" s="342"/>
      <c r="BF60" s="342"/>
      <c r="BG60" s="342"/>
      <c r="BH60" s="342"/>
      <c r="BI60" s="342"/>
      <c r="BJ60" s="342"/>
    </row>
    <row r="61" spans="1:136" outlineLevel="1" x14ac:dyDescent="0.25">
      <c r="B61" s="472"/>
      <c r="C61" s="425"/>
      <c r="D61" s="425"/>
      <c r="E61" s="425"/>
      <c r="F61" s="425"/>
      <c r="G61" s="473"/>
      <c r="H61" s="427" t="str">
        <f>GENERALITES!$D$14</f>
        <v>kg</v>
      </c>
      <c r="I61" s="436"/>
      <c r="J61" s="430" t="s">
        <v>2</v>
      </c>
      <c r="K61" s="425"/>
      <c r="L61" s="470"/>
      <c r="M61" s="420"/>
      <c r="N61" s="514"/>
      <c r="O61" s="420"/>
      <c r="P61" s="515"/>
      <c r="Q61" s="420"/>
      <c r="R61" s="425"/>
      <c r="S61" s="516"/>
      <c r="T61" s="420"/>
      <c r="U61" s="515"/>
      <c r="V61" s="420"/>
      <c r="W61" s="425"/>
      <c r="X61" s="515"/>
      <c r="Y61" s="420"/>
      <c r="Z61" s="515"/>
      <c r="AA61" s="420"/>
      <c r="AB61" s="425"/>
      <c r="AC61" s="517"/>
      <c r="AD61" s="432"/>
      <c r="AE61" s="388"/>
      <c r="AF61" s="514"/>
      <c r="AG61" s="420"/>
      <c r="AH61" s="515"/>
      <c r="AI61" s="420"/>
      <c r="AJ61" s="425"/>
      <c r="AK61" s="516"/>
      <c r="AL61" s="420"/>
      <c r="AM61" s="515"/>
      <c r="AN61" s="420"/>
      <c r="AO61" s="425"/>
      <c r="AP61" s="515"/>
      <c r="AQ61" s="420"/>
      <c r="AR61" s="515"/>
      <c r="AS61" s="420"/>
      <c r="AT61" s="425"/>
      <c r="AU61" s="518"/>
      <c r="AV61" s="432"/>
      <c r="AX61" s="342"/>
      <c r="AY61" s="342"/>
      <c r="AZ61" s="342"/>
      <c r="BA61" s="342"/>
      <c r="BB61" s="342"/>
      <c r="BC61" s="342"/>
      <c r="BD61" s="342"/>
      <c r="BE61" s="342"/>
      <c r="BF61" s="342"/>
      <c r="BG61" s="342"/>
      <c r="BH61" s="342"/>
      <c r="BI61" s="342"/>
      <c r="BJ61" s="342"/>
    </row>
    <row r="62" spans="1:136" outlineLevel="1" x14ac:dyDescent="0.25">
      <c r="B62" s="472"/>
      <c r="C62" s="425"/>
      <c r="D62" s="425"/>
      <c r="E62" s="425"/>
      <c r="F62" s="425"/>
      <c r="G62" s="473"/>
      <c r="H62" s="427" t="str">
        <f>GENERALITES!$D$14</f>
        <v>kg</v>
      </c>
      <c r="I62" s="436"/>
      <c r="J62" s="430" t="s">
        <v>2</v>
      </c>
      <c r="K62" s="425"/>
      <c r="L62" s="470"/>
      <c r="M62" s="420"/>
      <c r="N62" s="514"/>
      <c r="O62" s="420"/>
      <c r="P62" s="515"/>
      <c r="Q62" s="420"/>
      <c r="R62" s="425"/>
      <c r="S62" s="516"/>
      <c r="T62" s="420"/>
      <c r="U62" s="515"/>
      <c r="V62" s="420"/>
      <c r="W62" s="425"/>
      <c r="X62" s="515"/>
      <c r="Y62" s="420"/>
      <c r="Z62" s="515"/>
      <c r="AA62" s="420"/>
      <c r="AB62" s="425"/>
      <c r="AC62" s="517"/>
      <c r="AD62" s="432"/>
      <c r="AE62" s="388"/>
      <c r="AF62" s="514"/>
      <c r="AG62" s="420"/>
      <c r="AH62" s="515"/>
      <c r="AI62" s="420"/>
      <c r="AJ62" s="425"/>
      <c r="AK62" s="516"/>
      <c r="AL62" s="420"/>
      <c r="AM62" s="515"/>
      <c r="AN62" s="420"/>
      <c r="AO62" s="425"/>
      <c r="AP62" s="515"/>
      <c r="AQ62" s="420"/>
      <c r="AR62" s="515"/>
      <c r="AS62" s="420"/>
      <c r="AT62" s="425"/>
      <c r="AU62" s="518"/>
      <c r="AV62" s="432"/>
      <c r="AX62" s="342"/>
      <c r="AY62" s="342"/>
      <c r="AZ62" s="342"/>
      <c r="BA62" s="342"/>
      <c r="BB62" s="342"/>
      <c r="BC62" s="342"/>
      <c r="BD62" s="342"/>
      <c r="BE62" s="342"/>
      <c r="BF62" s="342"/>
      <c r="BG62" s="342"/>
      <c r="BH62" s="342"/>
      <c r="BI62" s="342"/>
      <c r="BJ62" s="342"/>
    </row>
    <row r="63" spans="1:136" outlineLevel="1" x14ac:dyDescent="0.25">
      <c r="B63" s="472"/>
      <c r="C63" s="425"/>
      <c r="D63" s="425"/>
      <c r="E63" s="425"/>
      <c r="F63" s="425"/>
      <c r="G63" s="473"/>
      <c r="H63" s="427" t="str">
        <f>GENERALITES!$D$14</f>
        <v>kg</v>
      </c>
      <c r="I63" s="436"/>
      <c r="J63" s="430" t="s">
        <v>2</v>
      </c>
      <c r="K63" s="425"/>
      <c r="L63" s="470"/>
      <c r="M63" s="420"/>
      <c r="N63" s="514"/>
      <c r="O63" s="420"/>
      <c r="P63" s="515"/>
      <c r="Q63" s="420"/>
      <c r="R63" s="425"/>
      <c r="S63" s="516"/>
      <c r="T63" s="420"/>
      <c r="U63" s="515"/>
      <c r="V63" s="420"/>
      <c r="W63" s="425"/>
      <c r="X63" s="515"/>
      <c r="Y63" s="420"/>
      <c r="Z63" s="515"/>
      <c r="AA63" s="420"/>
      <c r="AB63" s="425"/>
      <c r="AC63" s="517"/>
      <c r="AD63" s="432"/>
      <c r="AE63" s="388"/>
      <c r="AF63" s="514"/>
      <c r="AG63" s="420"/>
      <c r="AH63" s="515"/>
      <c r="AI63" s="420"/>
      <c r="AJ63" s="425"/>
      <c r="AK63" s="516"/>
      <c r="AL63" s="420"/>
      <c r="AM63" s="515"/>
      <c r="AN63" s="420"/>
      <c r="AO63" s="425"/>
      <c r="AP63" s="515"/>
      <c r="AQ63" s="420"/>
      <c r="AR63" s="515"/>
      <c r="AS63" s="420"/>
      <c r="AT63" s="425"/>
      <c r="AU63" s="518"/>
      <c r="AV63" s="432"/>
      <c r="AX63" s="342"/>
      <c r="AY63" s="342"/>
      <c r="AZ63" s="342"/>
      <c r="BA63" s="342"/>
      <c r="BB63" s="342"/>
      <c r="BC63" s="342"/>
      <c r="BD63" s="342"/>
      <c r="BE63" s="342"/>
      <c r="BF63" s="342"/>
      <c r="BG63" s="342"/>
      <c r="BH63" s="342"/>
      <c r="BI63" s="342"/>
      <c r="BJ63" s="342"/>
    </row>
    <row r="64" spans="1:136" outlineLevel="1" x14ac:dyDescent="0.25">
      <c r="B64" s="472"/>
      <c r="C64" s="425"/>
      <c r="D64" s="425"/>
      <c r="E64" s="425"/>
      <c r="F64" s="425"/>
      <c r="G64" s="473"/>
      <c r="H64" s="427" t="str">
        <f>GENERALITES!$D$14</f>
        <v>kg</v>
      </c>
      <c r="I64" s="436"/>
      <c r="J64" s="430" t="s">
        <v>2</v>
      </c>
      <c r="K64" s="425"/>
      <c r="L64" s="470"/>
      <c r="M64" s="420"/>
      <c r="N64" s="514"/>
      <c r="O64" s="420"/>
      <c r="P64" s="515"/>
      <c r="Q64" s="420"/>
      <c r="R64" s="425"/>
      <c r="S64" s="516"/>
      <c r="T64" s="420"/>
      <c r="U64" s="515"/>
      <c r="V64" s="420"/>
      <c r="W64" s="425"/>
      <c r="X64" s="515"/>
      <c r="Y64" s="420"/>
      <c r="Z64" s="515"/>
      <c r="AA64" s="420"/>
      <c r="AB64" s="425"/>
      <c r="AC64" s="517"/>
      <c r="AD64" s="432"/>
      <c r="AE64" s="388"/>
      <c r="AF64" s="514"/>
      <c r="AG64" s="420"/>
      <c r="AH64" s="515"/>
      <c r="AI64" s="420"/>
      <c r="AJ64" s="425"/>
      <c r="AK64" s="516"/>
      <c r="AL64" s="420"/>
      <c r="AM64" s="515"/>
      <c r="AN64" s="420"/>
      <c r="AO64" s="425"/>
      <c r="AP64" s="515"/>
      <c r="AQ64" s="420"/>
      <c r="AR64" s="515"/>
      <c r="AS64" s="420"/>
      <c r="AT64" s="425"/>
      <c r="AU64" s="518"/>
      <c r="AV64" s="432"/>
      <c r="AX64" s="342"/>
      <c r="AY64" s="342"/>
      <c r="AZ64" s="342"/>
      <c r="BA64" s="342"/>
      <c r="BB64" s="342"/>
      <c r="BC64" s="342"/>
      <c r="BD64" s="342"/>
      <c r="BE64" s="342"/>
      <c r="BF64" s="342"/>
      <c r="BG64" s="342"/>
      <c r="BH64" s="342"/>
      <c r="BI64" s="342"/>
      <c r="BJ64" s="342"/>
    </row>
    <row r="65" spans="1:136"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8"/>
      <c r="W65" s="478"/>
      <c r="X65" s="478"/>
      <c r="Y65" s="478"/>
      <c r="Z65" s="478"/>
      <c r="AA65" s="478"/>
      <c r="AB65" s="478"/>
      <c r="AC65" s="478"/>
      <c r="AD65" s="479"/>
      <c r="AE65" s="440"/>
      <c r="AF65" s="444"/>
      <c r="AG65" s="445"/>
      <c r="AH65" s="445"/>
      <c r="AI65" s="445"/>
      <c r="AJ65" s="445"/>
      <c r="AK65" s="445"/>
      <c r="AL65" s="445"/>
      <c r="AM65" s="445"/>
      <c r="AN65" s="445"/>
      <c r="AO65" s="445"/>
      <c r="AP65" s="445"/>
      <c r="AQ65" s="445"/>
      <c r="AR65" s="445"/>
      <c r="AS65" s="445"/>
      <c r="AT65" s="445"/>
      <c r="AU65" s="445"/>
      <c r="AV65" s="446"/>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c r="DQ65" s="388"/>
      <c r="DR65" s="388"/>
      <c r="DS65" s="388"/>
      <c r="DT65" s="388"/>
      <c r="DU65" s="388"/>
      <c r="DV65" s="388"/>
      <c r="DW65" s="388"/>
      <c r="DX65" s="388"/>
      <c r="DY65" s="388"/>
      <c r="DZ65" s="388"/>
      <c r="EA65" s="388"/>
      <c r="EB65" s="388"/>
      <c r="EC65" s="388"/>
      <c r="ED65" s="388"/>
      <c r="EE65" s="388"/>
      <c r="EF65" s="388"/>
    </row>
    <row r="66" spans="1:136" ht="21.75" customHeight="1" thickBot="1" x14ac:dyDescent="0.3">
      <c r="A66" s="440"/>
      <c r="B66" s="508" t="str">
        <f>GENERALITES!$B$48</f>
        <v>Autre énergie</v>
      </c>
      <c r="C66" s="509"/>
      <c r="D66" s="509"/>
      <c r="E66" s="509"/>
      <c r="F66" s="509"/>
      <c r="G66" s="509"/>
      <c r="H66" s="510"/>
      <c r="I66" s="342"/>
      <c r="J66" s="342"/>
      <c r="K66" s="342"/>
      <c r="L66" s="342"/>
      <c r="M66" s="342"/>
      <c r="N66" s="342"/>
      <c r="O66" s="342"/>
      <c r="P66" s="342"/>
      <c r="Q66" s="342"/>
      <c r="R66" s="342"/>
      <c r="S66" s="342"/>
      <c r="T66" s="342"/>
      <c r="U66" s="342"/>
      <c r="V66" s="342"/>
      <c r="W66" s="342"/>
      <c r="X66" s="342"/>
      <c r="Y66" s="342"/>
      <c r="Z66" s="342"/>
      <c r="AA66" s="342"/>
      <c r="AB66" s="342"/>
      <c r="AC66" s="342"/>
      <c r="AD66" s="342"/>
      <c r="AE66" s="440"/>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t="s">
        <v>40</v>
      </c>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c r="DQ66" s="388"/>
      <c r="DR66" s="388"/>
      <c r="DS66" s="388"/>
      <c r="DT66" s="388"/>
      <c r="DU66" s="388"/>
      <c r="DV66" s="388"/>
      <c r="DW66" s="388"/>
      <c r="DX66" s="388"/>
      <c r="DY66" s="388"/>
      <c r="DZ66" s="388"/>
      <c r="EA66" s="388"/>
      <c r="EB66" s="388"/>
      <c r="EC66" s="388"/>
      <c r="ED66" s="388"/>
      <c r="EE66" s="388"/>
      <c r="EF66" s="388"/>
    </row>
    <row r="67" spans="1:136"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3"/>
      <c r="W67" s="413"/>
      <c r="X67" s="413"/>
      <c r="Y67" s="413"/>
      <c r="Z67" s="413"/>
      <c r="AA67" s="413"/>
      <c r="AB67" s="413"/>
      <c r="AC67" s="413"/>
      <c r="AD67" s="414"/>
      <c r="AF67" s="412"/>
      <c r="AG67" s="413"/>
      <c r="AH67" s="413"/>
      <c r="AI67" s="413"/>
      <c r="AJ67" s="413"/>
      <c r="AK67" s="413"/>
      <c r="AL67" s="413"/>
      <c r="AM67" s="413"/>
      <c r="AN67" s="413"/>
      <c r="AO67" s="413"/>
      <c r="AP67" s="413"/>
      <c r="AQ67" s="413"/>
      <c r="AR67" s="413"/>
      <c r="AS67" s="413"/>
      <c r="AT67" s="413"/>
      <c r="AU67" s="413"/>
      <c r="AV67" s="414"/>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c r="DQ67" s="388"/>
      <c r="DR67" s="388"/>
      <c r="DS67" s="388"/>
      <c r="DT67" s="388"/>
      <c r="DU67" s="388"/>
      <c r="DV67" s="388"/>
      <c r="DW67" s="388"/>
      <c r="DX67" s="388"/>
      <c r="DY67" s="388"/>
      <c r="DZ67" s="388"/>
      <c r="EA67" s="388"/>
      <c r="EB67" s="388"/>
      <c r="EC67" s="388"/>
      <c r="ED67" s="388"/>
      <c r="EE67" s="388"/>
      <c r="EF67" s="388"/>
    </row>
    <row r="68" spans="1:136" ht="15" customHeight="1"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289"/>
      <c r="W68" s="289"/>
      <c r="X68" s="289"/>
      <c r="Y68" s="289"/>
      <c r="Z68" s="289"/>
      <c r="AA68" s="289"/>
      <c r="AB68" s="289"/>
      <c r="AC68" s="289"/>
      <c r="AD68" s="419"/>
      <c r="AE68" s="388"/>
      <c r="AF68" s="418" t="s">
        <v>68</v>
      </c>
      <c r="AG68" s="289"/>
      <c r="AH68" s="289"/>
      <c r="AI68" s="289"/>
      <c r="AJ68" s="289"/>
      <c r="AK68" s="289"/>
      <c r="AL68" s="289"/>
      <c r="AM68" s="289"/>
      <c r="AN68" s="289"/>
      <c r="AO68" s="289"/>
      <c r="AP68" s="289"/>
      <c r="AQ68" s="289"/>
      <c r="AR68" s="289"/>
      <c r="AS68" s="289"/>
      <c r="AT68" s="289"/>
      <c r="AU68" s="289"/>
      <c r="AV68" s="419"/>
      <c r="AW68" s="388"/>
      <c r="AX68" s="342"/>
      <c r="AY68" s="342"/>
      <c r="AZ68" s="342"/>
      <c r="BA68" s="342"/>
      <c r="BB68" s="342"/>
      <c r="BC68" s="342"/>
      <c r="BD68" s="342"/>
      <c r="BE68" s="342"/>
      <c r="BF68" s="342"/>
      <c r="BG68" s="342"/>
      <c r="BH68" s="342"/>
      <c r="BI68" s="342"/>
      <c r="BJ68" s="342"/>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c r="DQ68" s="388"/>
      <c r="DR68" s="388"/>
      <c r="DS68" s="388"/>
      <c r="DT68" s="388"/>
      <c r="DU68" s="388"/>
      <c r="DV68" s="388"/>
      <c r="DW68" s="388"/>
      <c r="DX68" s="388"/>
      <c r="DY68" s="388"/>
      <c r="DZ68" s="388"/>
      <c r="EA68" s="388"/>
      <c r="EB68" s="388"/>
      <c r="EC68" s="388"/>
      <c r="ED68" s="388"/>
      <c r="EE68" s="388"/>
      <c r="EF68" s="388"/>
    </row>
    <row r="69" spans="1:136" ht="43.5" customHeight="1" outlineLevel="1" x14ac:dyDescent="0.25">
      <c r="A69" s="440"/>
      <c r="B69" s="464" t="s">
        <v>17</v>
      </c>
      <c r="C69" s="425"/>
      <c r="D69" s="425"/>
      <c r="E69" s="425"/>
      <c r="F69" s="425"/>
      <c r="G69" s="422" t="s">
        <v>463</v>
      </c>
      <c r="H69" s="270"/>
      <c r="I69" s="422" t="s">
        <v>464</v>
      </c>
      <c r="J69" s="447"/>
      <c r="K69" s="447"/>
      <c r="L69" s="401"/>
      <c r="M69" s="420"/>
      <c r="N69" s="269" t="s">
        <v>69</v>
      </c>
      <c r="O69" s="270"/>
      <c r="P69" s="422" t="s">
        <v>465</v>
      </c>
      <c r="Q69" s="270"/>
      <c r="R69" s="425"/>
      <c r="S69" s="422" t="s">
        <v>97</v>
      </c>
      <c r="T69" s="270"/>
      <c r="U69" s="422" t="s">
        <v>98</v>
      </c>
      <c r="V69" s="270"/>
      <c r="W69" s="425"/>
      <c r="X69" s="422" t="s">
        <v>466</v>
      </c>
      <c r="Y69" s="270"/>
      <c r="Z69" s="422" t="s">
        <v>467</v>
      </c>
      <c r="AA69" s="270"/>
      <c r="AB69" s="425"/>
      <c r="AC69" s="422" t="s">
        <v>468</v>
      </c>
      <c r="AD69" s="401"/>
      <c r="AE69" s="388"/>
      <c r="AF69" s="269" t="s">
        <v>68</v>
      </c>
      <c r="AG69" s="270"/>
      <c r="AH69" s="422" t="s">
        <v>469</v>
      </c>
      <c r="AI69" s="270"/>
      <c r="AJ69" s="425"/>
      <c r="AK69" s="422" t="s">
        <v>99</v>
      </c>
      <c r="AL69" s="270"/>
      <c r="AM69" s="422" t="s">
        <v>100</v>
      </c>
      <c r="AN69" s="270"/>
      <c r="AO69" s="425"/>
      <c r="AP69" s="422" t="s">
        <v>470</v>
      </c>
      <c r="AQ69" s="270"/>
      <c r="AR69" s="422" t="s">
        <v>471</v>
      </c>
      <c r="AS69" s="270"/>
      <c r="AT69" s="425"/>
      <c r="AU69" s="422" t="s">
        <v>472</v>
      </c>
      <c r="AV69" s="401"/>
      <c r="AW69" s="388"/>
      <c r="AX69" s="342"/>
      <c r="AY69" s="342"/>
      <c r="AZ69" s="342"/>
      <c r="BA69" s="342"/>
      <c r="BB69" s="342"/>
      <c r="BC69" s="342"/>
      <c r="BD69" s="342"/>
      <c r="BE69" s="342"/>
      <c r="BF69" s="342"/>
      <c r="BG69" s="342"/>
      <c r="BH69" s="342"/>
      <c r="BI69" s="342"/>
      <c r="BJ69" s="342"/>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c r="DQ69" s="388"/>
      <c r="DR69" s="388"/>
      <c r="DS69" s="388"/>
      <c r="DT69" s="388"/>
      <c r="DU69" s="388"/>
      <c r="DV69" s="388"/>
      <c r="DW69" s="388"/>
      <c r="DX69" s="388"/>
      <c r="DY69" s="388"/>
      <c r="DZ69" s="388"/>
      <c r="EA69" s="388"/>
      <c r="EB69" s="388"/>
      <c r="EC69" s="388"/>
      <c r="ED69" s="388"/>
      <c r="EE69" s="388"/>
      <c r="EF69" s="388"/>
    </row>
    <row r="70" spans="1:136" outlineLevel="1" x14ac:dyDescent="0.25">
      <c r="A70" s="440"/>
      <c r="B70" s="435" t="s">
        <v>18</v>
      </c>
      <c r="C70" s="425"/>
      <c r="D70" s="425"/>
      <c r="E70" s="425"/>
      <c r="F70" s="425"/>
      <c r="G70" s="469"/>
      <c r="H70" s="427">
        <f>GENERALITES!$D$15</f>
        <v>0</v>
      </c>
      <c r="I70" s="448">
        <f>$N$10</f>
        <v>0</v>
      </c>
      <c r="J70" s="449" t="s">
        <v>2</v>
      </c>
      <c r="K70" s="302">
        <f>IF(B70=Annexes!$B$3,G70*I70/100,SUMPRODUCT(G73:G76,I73:I76/100))</f>
        <v>0</v>
      </c>
      <c r="L70" s="428">
        <f>GENERALITES!$D$15</f>
        <v>0</v>
      </c>
      <c r="M70" s="420"/>
      <c r="N70" s="437">
        <f>GENERALITES!$D$48</f>
        <v>0</v>
      </c>
      <c r="O70" s="427" t="str">
        <f>GENERALITES!$E$48</f>
        <v xml:space="preserve">€ / </v>
      </c>
      <c r="P70" s="302">
        <f>IF(B70=Annexes!$B$3,G70*N70,SUM(G73:G76)*N70)</f>
        <v>0</v>
      </c>
      <c r="Q70" s="427" t="s">
        <v>6</v>
      </c>
      <c r="R70" s="425"/>
      <c r="S70" s="302">
        <f>'ETAPE 5'!Z70</f>
        <v>0</v>
      </c>
      <c r="T70" s="520" t="s">
        <v>72</v>
      </c>
      <c r="U70" s="448">
        <f>S70*$B$10</f>
        <v>0</v>
      </c>
      <c r="V70" s="427" t="s">
        <v>6</v>
      </c>
      <c r="W70" s="425"/>
      <c r="X70" s="302">
        <f>P70+U70</f>
        <v>0</v>
      </c>
      <c r="Y70" s="427" t="s">
        <v>6</v>
      </c>
      <c r="Z70" s="302">
        <f>IF($E$10&lt;&gt;0,X70/$E$10,0)</f>
        <v>0</v>
      </c>
      <c r="AA70" s="427" t="s">
        <v>72</v>
      </c>
      <c r="AB70" s="425"/>
      <c r="AC70" s="302">
        <f>$N$10/100*U70+IF(B70=Annexes!$B$3,I70/100*P70,IF(SUM(G73:G76)&gt;0,K70/SUM(G73:G76)*P70,0))</f>
        <v>0</v>
      </c>
      <c r="AD70" s="428" t="s">
        <v>6</v>
      </c>
      <c r="AE70" s="388"/>
      <c r="AF70" s="437">
        <f>GENERALITES!$M$48</f>
        <v>0</v>
      </c>
      <c r="AG70" s="427" t="str">
        <f>GENERALITES!$N$48</f>
        <v xml:space="preserve">TCO2 / </v>
      </c>
      <c r="AH70" s="302">
        <f>IF(B70=Annexes!$B$3,G70*AF70,SUM(G73:G76)*AF70)</f>
        <v>0</v>
      </c>
      <c r="AI70" s="427" t="s">
        <v>21</v>
      </c>
      <c r="AJ70" s="425"/>
      <c r="AK70" s="302">
        <f>'ETAPE 5'!AR70</f>
        <v>0</v>
      </c>
      <c r="AL70" s="427" t="s">
        <v>73</v>
      </c>
      <c r="AM70" s="448">
        <f>AK70*$B$10</f>
        <v>0</v>
      </c>
      <c r="AN70" s="427" t="s">
        <v>21</v>
      </c>
      <c r="AO70" s="425"/>
      <c r="AP70" s="302">
        <f>AH70+AM70</f>
        <v>0</v>
      </c>
      <c r="AQ70" s="427" t="s">
        <v>21</v>
      </c>
      <c r="AR70" s="302">
        <f>IF($E$10&lt;&gt;0,AP70/$E$10,0)</f>
        <v>0</v>
      </c>
      <c r="AS70" s="427" t="s">
        <v>73</v>
      </c>
      <c r="AT70" s="425"/>
      <c r="AU70" s="302">
        <f>$N$10/100*AM70+IF(B70=Annexes!$B$3,I70/100*AH70,IF(SUM(G73:G76)&gt;0,K70/SUM(G73:G76)*AH70,0))</f>
        <v>0</v>
      </c>
      <c r="AV70" s="428" t="s">
        <v>21</v>
      </c>
      <c r="AW70" s="388"/>
      <c r="AX70" s="342"/>
      <c r="AY70" s="342"/>
      <c r="AZ70" s="342"/>
      <c r="BA70" s="342"/>
      <c r="BB70" s="342"/>
      <c r="BC70" s="342"/>
      <c r="BD70" s="342"/>
      <c r="BE70" s="342"/>
      <c r="BF70" s="342"/>
      <c r="BG70" s="342"/>
      <c r="BH70" s="342"/>
      <c r="BI70" s="342"/>
      <c r="BJ70" s="342"/>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c r="DQ70" s="388"/>
      <c r="DR70" s="388"/>
      <c r="DS70" s="388"/>
      <c r="DT70" s="388"/>
      <c r="DU70" s="388"/>
      <c r="DV70" s="388"/>
      <c r="DW70" s="388"/>
      <c r="DX70" s="388"/>
      <c r="DY70" s="388"/>
      <c r="DZ70" s="388"/>
      <c r="EA70" s="388"/>
      <c r="EB70" s="388"/>
      <c r="EC70" s="388"/>
      <c r="ED70" s="388"/>
      <c r="EE70" s="388"/>
      <c r="EF70" s="388"/>
    </row>
    <row r="71" spans="1:136" outlineLevel="1" x14ac:dyDescent="0.25">
      <c r="A71" s="440"/>
      <c r="B71" s="431"/>
      <c r="C71" s="425"/>
      <c r="D71" s="425"/>
      <c r="E71" s="425"/>
      <c r="F71" s="425"/>
      <c r="G71" s="420"/>
      <c r="H71" s="420"/>
      <c r="I71" s="420"/>
      <c r="J71" s="420"/>
      <c r="K71" s="420"/>
      <c r="L71" s="432"/>
      <c r="M71" s="420"/>
      <c r="N71" s="514"/>
      <c r="O71" s="420"/>
      <c r="P71" s="515"/>
      <c r="Q71" s="420"/>
      <c r="R71" s="425"/>
      <c r="S71" s="516"/>
      <c r="T71" s="420"/>
      <c r="U71" s="515"/>
      <c r="V71" s="420"/>
      <c r="W71" s="425"/>
      <c r="X71" s="515"/>
      <c r="Y71" s="420"/>
      <c r="Z71" s="515"/>
      <c r="AA71" s="420"/>
      <c r="AB71" s="425"/>
      <c r="AC71" s="517"/>
      <c r="AD71" s="432"/>
      <c r="AE71" s="388"/>
      <c r="AF71" s="514"/>
      <c r="AG71" s="420"/>
      <c r="AH71" s="515"/>
      <c r="AI71" s="420"/>
      <c r="AJ71" s="425"/>
      <c r="AK71" s="516"/>
      <c r="AL71" s="420"/>
      <c r="AM71" s="515"/>
      <c r="AN71" s="420"/>
      <c r="AO71" s="425"/>
      <c r="AP71" s="515"/>
      <c r="AQ71" s="420"/>
      <c r="AR71" s="515"/>
      <c r="AS71" s="420"/>
      <c r="AT71" s="425"/>
      <c r="AU71" s="518"/>
      <c r="AV71" s="432"/>
      <c r="AW71" s="388"/>
      <c r="AX71" s="342"/>
      <c r="AY71" s="342"/>
      <c r="AZ71" s="342"/>
      <c r="BA71" s="342"/>
      <c r="BB71" s="342"/>
      <c r="BC71" s="342"/>
      <c r="BD71" s="342"/>
      <c r="BE71" s="342"/>
      <c r="BF71" s="342"/>
      <c r="BG71" s="342"/>
      <c r="BH71" s="342"/>
      <c r="BI71" s="342"/>
      <c r="BJ71" s="342"/>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c r="DQ71" s="388"/>
      <c r="DR71" s="388"/>
      <c r="DS71" s="388"/>
      <c r="DT71" s="388"/>
      <c r="DU71" s="388"/>
      <c r="DV71" s="388"/>
      <c r="DW71" s="388"/>
      <c r="DX71" s="388"/>
      <c r="DY71" s="388"/>
      <c r="DZ71" s="388"/>
      <c r="EA71" s="388"/>
      <c r="EB71" s="388"/>
      <c r="EC71" s="388"/>
      <c r="ED71" s="388"/>
      <c r="EE71" s="388"/>
      <c r="EF71" s="388"/>
    </row>
    <row r="72" spans="1:136" outlineLevel="1" x14ac:dyDescent="0.25">
      <c r="A72" s="440"/>
      <c r="B72" s="464" t="s">
        <v>7</v>
      </c>
      <c r="C72" s="425"/>
      <c r="D72" s="425"/>
      <c r="E72" s="425"/>
      <c r="F72" s="425"/>
      <c r="G72" s="519"/>
      <c r="H72" s="519"/>
      <c r="I72" s="434"/>
      <c r="J72" s="434"/>
      <c r="K72" s="425"/>
      <c r="L72" s="470"/>
      <c r="M72" s="420"/>
      <c r="N72" s="514"/>
      <c r="O72" s="420"/>
      <c r="P72" s="515"/>
      <c r="Q72" s="420"/>
      <c r="R72" s="425"/>
      <c r="S72" s="516"/>
      <c r="T72" s="420"/>
      <c r="U72" s="515"/>
      <c r="V72" s="420"/>
      <c r="W72" s="425"/>
      <c r="X72" s="515"/>
      <c r="Y72" s="420"/>
      <c r="Z72" s="515"/>
      <c r="AA72" s="420"/>
      <c r="AB72" s="425"/>
      <c r="AC72" s="517"/>
      <c r="AD72" s="432"/>
      <c r="AE72" s="388"/>
      <c r="AF72" s="514"/>
      <c r="AG72" s="420"/>
      <c r="AH72" s="515"/>
      <c r="AI72" s="420"/>
      <c r="AJ72" s="425"/>
      <c r="AK72" s="516"/>
      <c r="AL72" s="420"/>
      <c r="AM72" s="515"/>
      <c r="AN72" s="420"/>
      <c r="AO72" s="425"/>
      <c r="AP72" s="515"/>
      <c r="AQ72" s="420"/>
      <c r="AR72" s="515"/>
      <c r="AS72" s="420"/>
      <c r="AT72" s="425"/>
      <c r="AU72" s="518"/>
      <c r="AV72" s="432"/>
      <c r="AW72" s="388"/>
      <c r="AX72" s="342"/>
      <c r="AY72" s="342"/>
      <c r="AZ72" s="342"/>
      <c r="BA72" s="342"/>
      <c r="BB72" s="342"/>
      <c r="BC72" s="342"/>
      <c r="BD72" s="342"/>
      <c r="BE72" s="342"/>
      <c r="BF72" s="342"/>
      <c r="BG72" s="342"/>
      <c r="BH72" s="342"/>
      <c r="BI72" s="342"/>
      <c r="BJ72" s="342"/>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c r="DQ72" s="388"/>
      <c r="DR72" s="388"/>
      <c r="DS72" s="388"/>
      <c r="DT72" s="388"/>
      <c r="DU72" s="388"/>
      <c r="DV72" s="388"/>
      <c r="DW72" s="388"/>
      <c r="DX72" s="388"/>
      <c r="DY72" s="388"/>
      <c r="DZ72" s="388"/>
      <c r="EA72" s="388"/>
      <c r="EB72" s="388"/>
      <c r="EC72" s="388"/>
      <c r="ED72" s="388"/>
      <c r="EE72" s="388"/>
      <c r="EF72" s="388"/>
    </row>
    <row r="73" spans="1:136" outlineLevel="1" x14ac:dyDescent="0.25">
      <c r="A73" s="440"/>
      <c r="B73" s="472"/>
      <c r="C73" s="425"/>
      <c r="D73" s="425"/>
      <c r="E73" s="425"/>
      <c r="F73" s="425"/>
      <c r="G73" s="473"/>
      <c r="H73" s="427">
        <f>GENERALITES!$D$15</f>
        <v>0</v>
      </c>
      <c r="I73" s="436"/>
      <c r="J73" s="430" t="s">
        <v>2</v>
      </c>
      <c r="K73" s="425"/>
      <c r="L73" s="470"/>
      <c r="M73" s="420"/>
      <c r="N73" s="514"/>
      <c r="O73" s="420"/>
      <c r="P73" s="515"/>
      <c r="Q73" s="420"/>
      <c r="R73" s="425"/>
      <c r="S73" s="516"/>
      <c r="T73" s="420"/>
      <c r="U73" s="515"/>
      <c r="V73" s="420"/>
      <c r="W73" s="425"/>
      <c r="X73" s="515"/>
      <c r="Y73" s="420"/>
      <c r="Z73" s="515"/>
      <c r="AA73" s="420"/>
      <c r="AB73" s="425"/>
      <c r="AC73" s="517"/>
      <c r="AD73" s="432"/>
      <c r="AE73" s="388"/>
      <c r="AF73" s="514"/>
      <c r="AG73" s="420"/>
      <c r="AH73" s="515"/>
      <c r="AI73" s="420"/>
      <c r="AJ73" s="425"/>
      <c r="AK73" s="516"/>
      <c r="AL73" s="420"/>
      <c r="AM73" s="515"/>
      <c r="AN73" s="420"/>
      <c r="AO73" s="425"/>
      <c r="AP73" s="515"/>
      <c r="AQ73" s="420"/>
      <c r="AR73" s="515"/>
      <c r="AS73" s="420"/>
      <c r="AT73" s="425"/>
      <c r="AU73" s="518"/>
      <c r="AV73" s="432"/>
      <c r="AW73" s="388"/>
      <c r="AX73" s="342"/>
      <c r="AY73" s="342"/>
      <c r="AZ73" s="342"/>
      <c r="BA73" s="342"/>
      <c r="BB73" s="342"/>
      <c r="BC73" s="342"/>
      <c r="BD73" s="342"/>
      <c r="BE73" s="342"/>
      <c r="BF73" s="342"/>
      <c r="BG73" s="342"/>
      <c r="BH73" s="342"/>
      <c r="BI73" s="342"/>
      <c r="BJ73" s="342"/>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c r="DQ73" s="388"/>
      <c r="DR73" s="388"/>
      <c r="DS73" s="388"/>
      <c r="DT73" s="388"/>
      <c r="DU73" s="388"/>
      <c r="DV73" s="388"/>
      <c r="DW73" s="388"/>
      <c r="DX73" s="388"/>
      <c r="DY73" s="388"/>
      <c r="DZ73" s="388"/>
      <c r="EA73" s="388"/>
      <c r="EB73" s="388"/>
      <c r="EC73" s="388"/>
      <c r="ED73" s="388"/>
      <c r="EE73" s="388"/>
      <c r="EF73" s="388"/>
    </row>
    <row r="74" spans="1:136" outlineLevel="1" x14ac:dyDescent="0.25">
      <c r="A74" s="440"/>
      <c r="B74" s="472"/>
      <c r="C74" s="425"/>
      <c r="D74" s="425"/>
      <c r="E74" s="425"/>
      <c r="F74" s="425"/>
      <c r="G74" s="473"/>
      <c r="H74" s="427">
        <f>GENERALITES!$D$15</f>
        <v>0</v>
      </c>
      <c r="I74" s="436"/>
      <c r="J74" s="430" t="s">
        <v>2</v>
      </c>
      <c r="K74" s="425"/>
      <c r="L74" s="470"/>
      <c r="M74" s="420"/>
      <c r="N74" s="514"/>
      <c r="O74" s="420"/>
      <c r="P74" s="515"/>
      <c r="Q74" s="420"/>
      <c r="R74" s="425"/>
      <c r="S74" s="516"/>
      <c r="T74" s="420"/>
      <c r="U74" s="515"/>
      <c r="V74" s="420"/>
      <c r="W74" s="425"/>
      <c r="X74" s="515"/>
      <c r="Y74" s="420"/>
      <c r="Z74" s="515"/>
      <c r="AA74" s="420"/>
      <c r="AB74" s="425"/>
      <c r="AC74" s="517"/>
      <c r="AD74" s="432"/>
      <c r="AE74" s="388"/>
      <c r="AF74" s="514"/>
      <c r="AG74" s="420"/>
      <c r="AH74" s="515"/>
      <c r="AI74" s="420"/>
      <c r="AJ74" s="425"/>
      <c r="AK74" s="516"/>
      <c r="AL74" s="420"/>
      <c r="AM74" s="515"/>
      <c r="AN74" s="420"/>
      <c r="AO74" s="425"/>
      <c r="AP74" s="515"/>
      <c r="AQ74" s="420"/>
      <c r="AR74" s="515"/>
      <c r="AS74" s="420"/>
      <c r="AT74" s="425"/>
      <c r="AU74" s="518"/>
      <c r="AV74" s="432"/>
      <c r="AW74" s="388"/>
      <c r="AX74" s="342"/>
      <c r="AY74" s="342"/>
      <c r="AZ74" s="342"/>
      <c r="BA74" s="342"/>
      <c r="BB74" s="342"/>
      <c r="BC74" s="342"/>
      <c r="BD74" s="342"/>
      <c r="BE74" s="342"/>
      <c r="BF74" s="342"/>
      <c r="BG74" s="342"/>
      <c r="BH74" s="342"/>
      <c r="BI74" s="342"/>
      <c r="BJ74" s="342"/>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c r="DQ74" s="388"/>
      <c r="DR74" s="388"/>
      <c r="DS74" s="388"/>
      <c r="DT74" s="388"/>
      <c r="DU74" s="388"/>
      <c r="DV74" s="388"/>
      <c r="DW74" s="388"/>
      <c r="DX74" s="388"/>
      <c r="DY74" s="388"/>
      <c r="DZ74" s="388"/>
      <c r="EA74" s="388"/>
      <c r="EB74" s="388"/>
      <c r="EC74" s="388"/>
      <c r="ED74" s="388"/>
      <c r="EE74" s="388"/>
      <c r="EF74" s="388"/>
    </row>
    <row r="75" spans="1:136" outlineLevel="1" x14ac:dyDescent="0.25">
      <c r="A75" s="440"/>
      <c r="B75" s="472"/>
      <c r="C75" s="425"/>
      <c r="D75" s="425"/>
      <c r="E75" s="425"/>
      <c r="F75" s="425"/>
      <c r="G75" s="473"/>
      <c r="H75" s="427">
        <f>GENERALITES!$D$15</f>
        <v>0</v>
      </c>
      <c r="I75" s="436"/>
      <c r="J75" s="430" t="s">
        <v>2</v>
      </c>
      <c r="K75" s="425"/>
      <c r="L75" s="470"/>
      <c r="M75" s="420"/>
      <c r="N75" s="514"/>
      <c r="O75" s="420"/>
      <c r="P75" s="515"/>
      <c r="Q75" s="420"/>
      <c r="R75" s="425"/>
      <c r="S75" s="516"/>
      <c r="T75" s="420"/>
      <c r="U75" s="515"/>
      <c r="V75" s="420"/>
      <c r="W75" s="425"/>
      <c r="X75" s="515"/>
      <c r="Y75" s="420"/>
      <c r="Z75" s="515"/>
      <c r="AA75" s="420"/>
      <c r="AB75" s="425"/>
      <c r="AC75" s="517"/>
      <c r="AD75" s="432"/>
      <c r="AE75" s="388"/>
      <c r="AF75" s="514"/>
      <c r="AG75" s="420"/>
      <c r="AH75" s="515"/>
      <c r="AI75" s="420"/>
      <c r="AJ75" s="425"/>
      <c r="AK75" s="516"/>
      <c r="AL75" s="420"/>
      <c r="AM75" s="515"/>
      <c r="AN75" s="420"/>
      <c r="AO75" s="425"/>
      <c r="AP75" s="515"/>
      <c r="AQ75" s="420"/>
      <c r="AR75" s="515"/>
      <c r="AS75" s="420"/>
      <c r="AT75" s="425"/>
      <c r="AU75" s="518"/>
      <c r="AV75" s="432"/>
      <c r="AW75" s="388"/>
      <c r="AX75" s="342"/>
      <c r="AY75" s="342"/>
      <c r="AZ75" s="342"/>
      <c r="BA75" s="342"/>
      <c r="BB75" s="342"/>
      <c r="BC75" s="342"/>
      <c r="BD75" s="342"/>
      <c r="BE75" s="342"/>
      <c r="BF75" s="342"/>
      <c r="BG75" s="342"/>
      <c r="BH75" s="342"/>
      <c r="BI75" s="342"/>
      <c r="BJ75" s="342"/>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c r="DQ75" s="388"/>
      <c r="DR75" s="388"/>
      <c r="DS75" s="388"/>
      <c r="DT75" s="388"/>
      <c r="DU75" s="388"/>
      <c r="DV75" s="388"/>
      <c r="DW75" s="388"/>
      <c r="DX75" s="388"/>
      <c r="DY75" s="388"/>
      <c r="DZ75" s="388"/>
      <c r="EA75" s="388"/>
      <c r="EB75" s="388"/>
      <c r="EC75" s="388"/>
      <c r="ED75" s="388"/>
      <c r="EE75" s="388"/>
      <c r="EF75" s="388"/>
    </row>
    <row r="76" spans="1:136" outlineLevel="1" x14ac:dyDescent="0.25">
      <c r="A76" s="440"/>
      <c r="B76" s="472"/>
      <c r="C76" s="425"/>
      <c r="D76" s="425"/>
      <c r="E76" s="425"/>
      <c r="F76" s="425"/>
      <c r="G76" s="473"/>
      <c r="H76" s="427">
        <f>GENERALITES!$D$15</f>
        <v>0</v>
      </c>
      <c r="I76" s="436"/>
      <c r="J76" s="430" t="s">
        <v>2</v>
      </c>
      <c r="K76" s="425"/>
      <c r="L76" s="470"/>
      <c r="M76" s="420"/>
      <c r="N76" s="514"/>
      <c r="O76" s="420"/>
      <c r="P76" s="515"/>
      <c r="Q76" s="420"/>
      <c r="R76" s="425"/>
      <c r="S76" s="516"/>
      <c r="T76" s="420"/>
      <c r="U76" s="515"/>
      <c r="V76" s="420"/>
      <c r="W76" s="425"/>
      <c r="X76" s="515"/>
      <c r="Y76" s="420"/>
      <c r="Z76" s="515"/>
      <c r="AA76" s="420"/>
      <c r="AB76" s="425"/>
      <c r="AC76" s="517"/>
      <c r="AD76" s="432"/>
      <c r="AE76" s="388"/>
      <c r="AF76" s="514"/>
      <c r="AG76" s="420"/>
      <c r="AH76" s="515"/>
      <c r="AI76" s="420"/>
      <c r="AJ76" s="425"/>
      <c r="AK76" s="516"/>
      <c r="AL76" s="420"/>
      <c r="AM76" s="515"/>
      <c r="AN76" s="420"/>
      <c r="AO76" s="425"/>
      <c r="AP76" s="515"/>
      <c r="AQ76" s="420"/>
      <c r="AR76" s="515"/>
      <c r="AS76" s="420"/>
      <c r="AT76" s="425"/>
      <c r="AU76" s="518"/>
      <c r="AV76" s="432"/>
      <c r="AW76" s="388"/>
      <c r="AX76" s="342"/>
      <c r="AY76" s="342"/>
      <c r="AZ76" s="342"/>
      <c r="BA76" s="342"/>
      <c r="BB76" s="342"/>
      <c r="BC76" s="342"/>
      <c r="BD76" s="342"/>
      <c r="BE76" s="342"/>
      <c r="BF76" s="342"/>
      <c r="BG76" s="342"/>
      <c r="BH76" s="342"/>
      <c r="BI76" s="342"/>
      <c r="BJ76" s="342"/>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c r="EA76" s="388"/>
      <c r="EB76" s="388"/>
      <c r="EC76" s="388"/>
      <c r="ED76" s="388"/>
      <c r="EE76" s="388"/>
      <c r="EF76" s="388"/>
    </row>
    <row r="77" spans="1:136"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8"/>
      <c r="W77" s="478"/>
      <c r="X77" s="478"/>
      <c r="Y77" s="478"/>
      <c r="Z77" s="478"/>
      <c r="AA77" s="478"/>
      <c r="AB77" s="478"/>
      <c r="AC77" s="478"/>
      <c r="AD77" s="479"/>
      <c r="AE77" s="440"/>
      <c r="AF77" s="444"/>
      <c r="AG77" s="445"/>
      <c r="AH77" s="445"/>
      <c r="AI77" s="445"/>
      <c r="AJ77" s="445"/>
      <c r="AK77" s="445"/>
      <c r="AL77" s="445"/>
      <c r="AM77" s="445"/>
      <c r="AN77" s="445"/>
      <c r="AO77" s="445"/>
      <c r="AP77" s="445"/>
      <c r="AQ77" s="445"/>
      <c r="AR77" s="445"/>
      <c r="AS77" s="445"/>
      <c r="AT77" s="445"/>
      <c r="AU77" s="445"/>
      <c r="AV77" s="446"/>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c r="DQ77" s="388"/>
      <c r="DR77" s="388"/>
      <c r="DS77" s="388"/>
      <c r="DT77" s="388"/>
      <c r="DU77" s="388"/>
      <c r="DV77" s="388"/>
      <c r="DW77" s="388"/>
      <c r="DX77" s="388"/>
      <c r="DY77" s="388"/>
      <c r="DZ77" s="388"/>
      <c r="EA77" s="388"/>
      <c r="EB77" s="388"/>
      <c r="EC77" s="388"/>
      <c r="ED77" s="388"/>
      <c r="EE77" s="388"/>
      <c r="EF77" s="388"/>
    </row>
    <row r="78" spans="1:136" ht="21.75" customHeight="1" thickBot="1" x14ac:dyDescent="0.3">
      <c r="A78" s="440"/>
      <c r="B78" s="508" t="s">
        <v>29</v>
      </c>
      <c r="C78" s="509"/>
      <c r="D78" s="509"/>
      <c r="E78" s="509"/>
      <c r="F78" s="509"/>
      <c r="G78" s="509"/>
      <c r="H78" s="510"/>
      <c r="I78" s="342"/>
      <c r="J78" s="342"/>
      <c r="K78" s="342"/>
      <c r="L78" s="342"/>
      <c r="M78" s="342"/>
      <c r="N78" s="342"/>
      <c r="O78" s="342"/>
      <c r="P78" s="342"/>
      <c r="Q78" s="342"/>
      <c r="R78" s="342"/>
      <c r="S78" s="342"/>
      <c r="T78" s="342"/>
      <c r="U78" s="342"/>
      <c r="V78" s="342"/>
      <c r="W78" s="342"/>
      <c r="X78" s="342"/>
      <c r="Y78" s="342"/>
      <c r="Z78" s="342"/>
      <c r="AA78" s="342"/>
      <c r="AB78" s="342"/>
      <c r="AC78" s="342"/>
      <c r="AD78" s="342"/>
      <c r="AE78" s="440"/>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row>
    <row r="79" spans="1:136" outlineLevel="1" x14ac:dyDescent="0.25">
      <c r="B79" s="412"/>
      <c r="C79" s="413"/>
      <c r="D79" s="413"/>
      <c r="E79" s="413"/>
      <c r="F79" s="413"/>
      <c r="G79" s="413"/>
      <c r="H79" s="413"/>
      <c r="I79" s="413"/>
      <c r="J79" s="413"/>
      <c r="K79" s="413"/>
      <c r="L79" s="414"/>
      <c r="N79" s="412"/>
      <c r="O79" s="413"/>
      <c r="P79" s="413"/>
      <c r="Q79" s="413"/>
      <c r="R79" s="413"/>
      <c r="S79" s="413"/>
      <c r="T79" s="413"/>
      <c r="U79" s="413"/>
      <c r="V79" s="413"/>
      <c r="W79" s="413"/>
      <c r="X79" s="413"/>
      <c r="Y79" s="413"/>
      <c r="Z79" s="413"/>
      <c r="AA79" s="413"/>
      <c r="AB79" s="413"/>
      <c r="AC79" s="413"/>
      <c r="AD79" s="414"/>
    </row>
    <row r="80" spans="1:136"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289"/>
      <c r="W80" s="289"/>
      <c r="X80" s="289"/>
      <c r="Y80" s="289"/>
      <c r="Z80" s="289"/>
      <c r="AA80" s="289"/>
      <c r="AB80" s="289"/>
      <c r="AC80" s="289"/>
      <c r="AD80" s="419"/>
      <c r="AE80" s="388"/>
      <c r="AF80" s="342"/>
      <c r="AG80" s="342"/>
      <c r="AH80" s="342"/>
      <c r="AI80" s="342"/>
      <c r="AJ80" s="342"/>
      <c r="AK80" s="342"/>
      <c r="AL80" s="342"/>
      <c r="AM80" s="342"/>
      <c r="AN80" s="342"/>
      <c r="AO80" s="342"/>
      <c r="AP80" s="342"/>
      <c r="AQ80" s="342"/>
      <c r="AR80" s="342"/>
      <c r="AS80" s="342"/>
      <c r="AT80" s="342"/>
      <c r="AU80" s="342"/>
      <c r="AV80" s="342"/>
      <c r="AX80" s="342"/>
      <c r="AY80" s="342"/>
      <c r="AZ80" s="342"/>
      <c r="BA80" s="342"/>
      <c r="BB80" s="342"/>
      <c r="BC80" s="342"/>
      <c r="BD80" s="342"/>
      <c r="BE80" s="342"/>
      <c r="BF80" s="342"/>
      <c r="BG80" s="342"/>
      <c r="BH80" s="342"/>
      <c r="BI80" s="342"/>
      <c r="BJ80" s="342"/>
    </row>
    <row r="81" spans="1:136" ht="43.5" customHeight="1" outlineLevel="1" x14ac:dyDescent="0.25">
      <c r="B81" s="464" t="s">
        <v>17</v>
      </c>
      <c r="C81" s="425"/>
      <c r="D81" s="425"/>
      <c r="E81" s="425"/>
      <c r="F81" s="425"/>
      <c r="G81" s="422" t="s">
        <v>473</v>
      </c>
      <c r="H81" s="270"/>
      <c r="I81" s="422" t="s">
        <v>474</v>
      </c>
      <c r="J81" s="447"/>
      <c r="K81" s="447"/>
      <c r="L81" s="401"/>
      <c r="M81" s="342"/>
      <c r="N81" s="269" t="s">
        <v>102</v>
      </c>
      <c r="O81" s="270"/>
      <c r="P81" s="422" t="s">
        <v>475</v>
      </c>
      <c r="Q81" s="270"/>
      <c r="R81" s="425"/>
      <c r="S81" s="422" t="s">
        <v>103</v>
      </c>
      <c r="T81" s="270"/>
      <c r="U81" s="422" t="s">
        <v>104</v>
      </c>
      <c r="V81" s="270"/>
      <c r="W81" s="425"/>
      <c r="X81" s="422" t="s">
        <v>476</v>
      </c>
      <c r="Y81" s="270"/>
      <c r="Z81" s="422" t="s">
        <v>477</v>
      </c>
      <c r="AA81" s="270"/>
      <c r="AB81" s="425"/>
      <c r="AC81" s="422" t="s">
        <v>478</v>
      </c>
      <c r="AD81" s="401"/>
      <c r="AE81" s="388"/>
      <c r="AF81" s="388"/>
      <c r="AG81" s="388"/>
      <c r="AH81" s="388"/>
      <c r="AI81" s="388"/>
      <c r="AJ81" s="388"/>
      <c r="AK81" s="388"/>
      <c r="AL81" s="388"/>
      <c r="AM81" s="388"/>
      <c r="AN81" s="388"/>
      <c r="AO81" s="388"/>
      <c r="AP81" s="388"/>
      <c r="AQ81" s="388"/>
      <c r="AR81" s="388"/>
      <c r="AS81" s="388"/>
      <c r="AT81" s="388"/>
      <c r="AU81" s="388"/>
      <c r="AV81" s="388"/>
      <c r="AX81" s="342"/>
      <c r="AY81" s="342"/>
      <c r="AZ81" s="342"/>
      <c r="BA81" s="342"/>
      <c r="BB81" s="342"/>
      <c r="BC81" s="342"/>
      <c r="BD81" s="342"/>
      <c r="BE81" s="342"/>
      <c r="BF81" s="342"/>
      <c r="BG81" s="342"/>
      <c r="BH81" s="342"/>
      <c r="BI81" s="342"/>
      <c r="BJ81" s="342"/>
    </row>
    <row r="82" spans="1:136" outlineLevel="1" x14ac:dyDescent="0.25">
      <c r="B82" s="435" t="s">
        <v>18</v>
      </c>
      <c r="C82" s="425"/>
      <c r="D82" s="425"/>
      <c r="E82" s="425"/>
      <c r="F82" s="425"/>
      <c r="G82" s="469"/>
      <c r="H82" s="427" t="str">
        <f>GENERALITES!$D$16</f>
        <v>L</v>
      </c>
      <c r="I82" s="448">
        <f>$N$10</f>
        <v>0</v>
      </c>
      <c r="J82" s="449" t="s">
        <v>2</v>
      </c>
      <c r="K82" s="302">
        <f>IF(B82=Annexes!$B$3,G82*I82/100,SUMPRODUCT(G85:G88,I85:I88/100))</f>
        <v>0</v>
      </c>
      <c r="L82" s="428" t="str">
        <f>GENERALITES!$D$16</f>
        <v>L</v>
      </c>
      <c r="M82" s="342"/>
      <c r="N82" s="437">
        <f>GENERALITES!$D$49</f>
        <v>0.3</v>
      </c>
      <c r="O82" s="427" t="str">
        <f>GENERALITES!$E$49</f>
        <v>€ / L</v>
      </c>
      <c r="P82" s="302">
        <f>IF(B82=Annexes!$B$3,G82*N82,SUM(G85:G88)*N82)</f>
        <v>0</v>
      </c>
      <c r="Q82" s="427" t="s">
        <v>6</v>
      </c>
      <c r="R82" s="425"/>
      <c r="S82" s="302">
        <f>'ETAPE 5'!Z82</f>
        <v>0</v>
      </c>
      <c r="T82" s="427" t="s">
        <v>72</v>
      </c>
      <c r="U82" s="448">
        <f>S82*$B$10</f>
        <v>0</v>
      </c>
      <c r="V82" s="427" t="s">
        <v>6</v>
      </c>
      <c r="W82" s="425"/>
      <c r="X82" s="302">
        <f>P82+U82</f>
        <v>0</v>
      </c>
      <c r="Y82" s="427" t="s">
        <v>6</v>
      </c>
      <c r="Z82" s="302">
        <f>IF($E$10&lt;&gt;0,X82/$E$10,0)</f>
        <v>0</v>
      </c>
      <c r="AA82" s="427" t="s">
        <v>72</v>
      </c>
      <c r="AB82" s="425"/>
      <c r="AC82" s="302">
        <f>$N$10/100*U82+IF(B82=Annexes!$B$3,I82/100*P82,IF(SUM(G85:G88)&gt;0,K82/SUM(G85:G88)*P82,0))</f>
        <v>0</v>
      </c>
      <c r="AD82" s="428" t="s">
        <v>6</v>
      </c>
      <c r="AE82" s="388"/>
      <c r="AF82" s="388"/>
      <c r="AG82" s="388"/>
      <c r="AH82" s="388"/>
      <c r="AI82" s="388"/>
      <c r="AJ82" s="388"/>
      <c r="AK82" s="388"/>
      <c r="AL82" s="388"/>
      <c r="AM82" s="388"/>
      <c r="AN82" s="388"/>
      <c r="AO82" s="388"/>
      <c r="AP82" s="388"/>
      <c r="AQ82" s="388"/>
      <c r="AR82" s="388"/>
      <c r="AS82" s="388"/>
      <c r="AT82" s="388"/>
      <c r="AU82" s="388"/>
      <c r="AV82" s="388"/>
      <c r="AX82" s="342"/>
      <c r="AY82" s="342"/>
      <c r="AZ82" s="342"/>
      <c r="BA82" s="342"/>
      <c r="BB82" s="342"/>
      <c r="BC82" s="342"/>
      <c r="BD82" s="342"/>
      <c r="BE82" s="342"/>
      <c r="BF82" s="342"/>
      <c r="BG82" s="342"/>
      <c r="BH82" s="342"/>
      <c r="BI82" s="342"/>
      <c r="BJ82" s="342"/>
    </row>
    <row r="83" spans="1:136" outlineLevel="1" x14ac:dyDescent="0.25">
      <c r="B83" s="431"/>
      <c r="C83" s="425"/>
      <c r="D83" s="425"/>
      <c r="E83" s="425"/>
      <c r="F83" s="425"/>
      <c r="G83" s="420"/>
      <c r="H83" s="420"/>
      <c r="I83" s="420"/>
      <c r="J83" s="420"/>
      <c r="K83" s="420"/>
      <c r="L83" s="432"/>
      <c r="M83" s="342"/>
      <c r="N83" s="514"/>
      <c r="O83" s="420"/>
      <c r="P83" s="515"/>
      <c r="Q83" s="420"/>
      <c r="R83" s="425"/>
      <c r="S83" s="516"/>
      <c r="T83" s="420"/>
      <c r="U83" s="515"/>
      <c r="V83" s="420"/>
      <c r="W83" s="425"/>
      <c r="X83" s="515"/>
      <c r="Y83" s="420"/>
      <c r="Z83" s="515"/>
      <c r="AA83" s="420"/>
      <c r="AB83" s="425"/>
      <c r="AC83" s="517"/>
      <c r="AD83" s="432"/>
      <c r="AE83" s="388"/>
      <c r="AF83" s="388"/>
      <c r="AG83" s="388"/>
      <c r="AH83" s="388"/>
      <c r="AI83" s="388"/>
      <c r="AJ83" s="388"/>
      <c r="AK83" s="388"/>
      <c r="AL83" s="388"/>
      <c r="AM83" s="388"/>
      <c r="AN83" s="388"/>
      <c r="AO83" s="388"/>
      <c r="AP83" s="388"/>
      <c r="AQ83" s="388"/>
      <c r="AR83" s="388"/>
      <c r="AS83" s="388"/>
      <c r="AT83" s="388"/>
      <c r="AU83" s="388"/>
      <c r="AV83" s="388"/>
      <c r="AX83" s="342"/>
      <c r="AY83" s="342"/>
      <c r="AZ83" s="342"/>
      <c r="BA83" s="342"/>
      <c r="BB83" s="342"/>
      <c r="BC83" s="342"/>
      <c r="BD83" s="342"/>
      <c r="BE83" s="342"/>
      <c r="BF83" s="342"/>
      <c r="BG83" s="342"/>
      <c r="BH83" s="342"/>
      <c r="BI83" s="342"/>
      <c r="BJ83" s="342"/>
    </row>
    <row r="84" spans="1:136" outlineLevel="1" x14ac:dyDescent="0.25">
      <c r="B84" s="464" t="s">
        <v>7</v>
      </c>
      <c r="C84" s="425"/>
      <c r="D84" s="425"/>
      <c r="E84" s="425"/>
      <c r="F84" s="425"/>
      <c r="G84" s="519"/>
      <c r="H84" s="519"/>
      <c r="I84" s="434"/>
      <c r="J84" s="434"/>
      <c r="K84" s="425"/>
      <c r="L84" s="470"/>
      <c r="M84" s="342"/>
      <c r="N84" s="514"/>
      <c r="O84" s="420"/>
      <c r="P84" s="515"/>
      <c r="Q84" s="420"/>
      <c r="R84" s="425"/>
      <c r="S84" s="516"/>
      <c r="T84" s="420"/>
      <c r="U84" s="515"/>
      <c r="V84" s="420"/>
      <c r="W84" s="425"/>
      <c r="X84" s="515"/>
      <c r="Y84" s="420"/>
      <c r="Z84" s="515"/>
      <c r="AA84" s="420"/>
      <c r="AB84" s="425"/>
      <c r="AC84" s="517"/>
      <c r="AD84" s="432"/>
      <c r="AE84" s="388"/>
      <c r="AF84" s="388"/>
      <c r="AG84" s="388"/>
      <c r="AH84" s="388"/>
      <c r="AI84" s="388"/>
      <c r="AJ84" s="388"/>
      <c r="AK84" s="388"/>
      <c r="AL84" s="388"/>
      <c r="AM84" s="388"/>
      <c r="AN84" s="388"/>
      <c r="AO84" s="388"/>
      <c r="AP84" s="388"/>
      <c r="AQ84" s="388"/>
      <c r="AR84" s="388"/>
      <c r="AS84" s="388"/>
      <c r="AT84" s="388"/>
      <c r="AU84" s="388"/>
      <c r="AV84" s="388"/>
      <c r="AX84" s="342"/>
      <c r="AY84" s="342"/>
      <c r="AZ84" s="342"/>
      <c r="BA84" s="342"/>
      <c r="BB84" s="342"/>
      <c r="BC84" s="342"/>
      <c r="BD84" s="342"/>
      <c r="BE84" s="342"/>
      <c r="BF84" s="342"/>
      <c r="BG84" s="342"/>
      <c r="BH84" s="342"/>
      <c r="BI84" s="342"/>
      <c r="BJ84" s="342"/>
    </row>
    <row r="85" spans="1:136" outlineLevel="1" x14ac:dyDescent="0.25">
      <c r="B85" s="472"/>
      <c r="C85" s="425"/>
      <c r="D85" s="425"/>
      <c r="E85" s="425"/>
      <c r="F85" s="425"/>
      <c r="G85" s="473"/>
      <c r="H85" s="474" t="str">
        <f>GENERALITES!$D$16</f>
        <v>L</v>
      </c>
      <c r="I85" s="436"/>
      <c r="J85" s="430" t="s">
        <v>2</v>
      </c>
      <c r="K85" s="425"/>
      <c r="L85" s="470"/>
      <c r="M85" s="342"/>
      <c r="N85" s="514"/>
      <c r="O85" s="420"/>
      <c r="P85" s="515"/>
      <c r="Q85" s="420"/>
      <c r="R85" s="425"/>
      <c r="S85" s="516"/>
      <c r="T85" s="420"/>
      <c r="U85" s="515"/>
      <c r="V85" s="420"/>
      <c r="W85" s="425"/>
      <c r="X85" s="515"/>
      <c r="Y85" s="420"/>
      <c r="Z85" s="515"/>
      <c r="AA85" s="420"/>
      <c r="AB85" s="425"/>
      <c r="AC85" s="517"/>
      <c r="AD85" s="432"/>
      <c r="AE85" s="388"/>
      <c r="AF85" s="388"/>
      <c r="AG85" s="388"/>
      <c r="AH85" s="388"/>
      <c r="AI85" s="388"/>
      <c r="AJ85" s="388"/>
      <c r="AK85" s="388"/>
      <c r="AL85" s="388"/>
      <c r="AM85" s="388"/>
      <c r="AN85" s="388"/>
      <c r="AO85" s="388"/>
      <c r="AP85" s="388"/>
      <c r="AQ85" s="388"/>
      <c r="AR85" s="388"/>
      <c r="AS85" s="388"/>
      <c r="AT85" s="388"/>
      <c r="AU85" s="388"/>
      <c r="AV85" s="388"/>
      <c r="AX85" s="342"/>
      <c r="AY85" s="342"/>
      <c r="AZ85" s="342"/>
      <c r="BA85" s="342"/>
      <c r="BB85" s="342"/>
      <c r="BC85" s="342"/>
      <c r="BD85" s="342"/>
      <c r="BE85" s="342"/>
      <c r="BF85" s="342"/>
      <c r="BG85" s="342"/>
      <c r="BH85" s="342"/>
      <c r="BI85" s="342"/>
      <c r="BJ85" s="342"/>
    </row>
    <row r="86" spans="1:136" outlineLevel="1" x14ac:dyDescent="0.25">
      <c r="B86" s="472"/>
      <c r="C86" s="425"/>
      <c r="D86" s="425"/>
      <c r="E86" s="425"/>
      <c r="F86" s="425"/>
      <c r="G86" s="473"/>
      <c r="H86" s="474" t="str">
        <f>GENERALITES!$D$16</f>
        <v>L</v>
      </c>
      <c r="I86" s="436"/>
      <c r="J86" s="430" t="s">
        <v>2</v>
      </c>
      <c r="K86" s="425"/>
      <c r="L86" s="470"/>
      <c r="M86" s="342"/>
      <c r="N86" s="514"/>
      <c r="O86" s="420"/>
      <c r="P86" s="515"/>
      <c r="Q86" s="420"/>
      <c r="R86" s="425"/>
      <c r="S86" s="516"/>
      <c r="T86" s="420"/>
      <c r="U86" s="515"/>
      <c r="V86" s="420"/>
      <c r="W86" s="425"/>
      <c r="X86" s="515"/>
      <c r="Y86" s="420"/>
      <c r="Z86" s="515"/>
      <c r="AA86" s="420"/>
      <c r="AB86" s="425"/>
      <c r="AC86" s="517"/>
      <c r="AD86" s="432"/>
      <c r="AE86" s="388"/>
      <c r="AF86" s="388"/>
      <c r="AG86" s="388"/>
      <c r="AH86" s="388"/>
      <c r="AI86" s="388"/>
      <c r="AJ86" s="388"/>
      <c r="AK86" s="388"/>
      <c r="AL86" s="388"/>
      <c r="AM86" s="388"/>
      <c r="AN86" s="388"/>
      <c r="AO86" s="388"/>
      <c r="AP86" s="388"/>
      <c r="AQ86" s="388"/>
      <c r="AR86" s="388"/>
      <c r="AS86" s="388"/>
      <c r="AT86" s="388"/>
      <c r="AU86" s="388"/>
      <c r="AV86" s="388"/>
      <c r="AX86" s="342"/>
      <c r="AY86" s="342"/>
      <c r="AZ86" s="342"/>
      <c r="BA86" s="342"/>
      <c r="BB86" s="342"/>
      <c r="BC86" s="342"/>
      <c r="BD86" s="342"/>
      <c r="BE86" s="342"/>
      <c r="BF86" s="342"/>
      <c r="BG86" s="342"/>
      <c r="BH86" s="342"/>
      <c r="BI86" s="342"/>
      <c r="BJ86" s="342"/>
    </row>
    <row r="87" spans="1:136" outlineLevel="1" x14ac:dyDescent="0.25">
      <c r="B87" s="472"/>
      <c r="C87" s="425"/>
      <c r="D87" s="425"/>
      <c r="E87" s="425"/>
      <c r="F87" s="425"/>
      <c r="G87" s="473"/>
      <c r="H87" s="474" t="str">
        <f>GENERALITES!$D$16</f>
        <v>L</v>
      </c>
      <c r="I87" s="436"/>
      <c r="J87" s="430" t="s">
        <v>2</v>
      </c>
      <c r="K87" s="425"/>
      <c r="L87" s="470"/>
      <c r="M87" s="342"/>
      <c r="N87" s="514"/>
      <c r="O87" s="420"/>
      <c r="P87" s="515"/>
      <c r="Q87" s="420"/>
      <c r="R87" s="425"/>
      <c r="S87" s="516"/>
      <c r="T87" s="420"/>
      <c r="U87" s="515"/>
      <c r="V87" s="420"/>
      <c r="W87" s="425"/>
      <c r="X87" s="515"/>
      <c r="Y87" s="420"/>
      <c r="Z87" s="515"/>
      <c r="AA87" s="420"/>
      <c r="AB87" s="425"/>
      <c r="AC87" s="517"/>
      <c r="AD87" s="432"/>
      <c r="AE87" s="388"/>
      <c r="AF87" s="388"/>
      <c r="AG87" s="388"/>
      <c r="AH87" s="388"/>
      <c r="AI87" s="388"/>
      <c r="AJ87" s="388"/>
      <c r="AK87" s="388"/>
      <c r="AL87" s="388"/>
      <c r="AM87" s="388"/>
      <c r="AN87" s="388"/>
      <c r="AO87" s="388"/>
      <c r="AP87" s="388"/>
      <c r="AQ87" s="388"/>
      <c r="AR87" s="388"/>
      <c r="AS87" s="388"/>
      <c r="AT87" s="388"/>
      <c r="AU87" s="388"/>
      <c r="AV87" s="388"/>
      <c r="AX87" s="342"/>
      <c r="AY87" s="342"/>
      <c r="AZ87" s="342"/>
      <c r="BA87" s="342"/>
      <c r="BB87" s="342"/>
      <c r="BC87" s="342"/>
      <c r="BD87" s="342"/>
      <c r="BE87" s="342"/>
      <c r="BF87" s="342"/>
      <c r="BG87" s="342"/>
      <c r="BH87" s="342"/>
      <c r="BI87" s="342"/>
      <c r="BJ87" s="342"/>
    </row>
    <row r="88" spans="1:136" outlineLevel="1" x14ac:dyDescent="0.25">
      <c r="B88" s="472"/>
      <c r="C88" s="425"/>
      <c r="D88" s="425"/>
      <c r="E88" s="425"/>
      <c r="F88" s="425"/>
      <c r="G88" s="473"/>
      <c r="H88" s="474" t="str">
        <f>GENERALITES!$D$16</f>
        <v>L</v>
      </c>
      <c r="I88" s="436"/>
      <c r="J88" s="430" t="s">
        <v>2</v>
      </c>
      <c r="K88" s="425"/>
      <c r="L88" s="470"/>
      <c r="M88" s="342"/>
      <c r="N88" s="514"/>
      <c r="O88" s="420"/>
      <c r="P88" s="515"/>
      <c r="Q88" s="420"/>
      <c r="R88" s="425"/>
      <c r="S88" s="516"/>
      <c r="T88" s="420"/>
      <c r="U88" s="515"/>
      <c r="V88" s="420"/>
      <c r="W88" s="425"/>
      <c r="X88" s="515"/>
      <c r="Y88" s="420"/>
      <c r="Z88" s="515"/>
      <c r="AA88" s="420"/>
      <c r="AB88" s="425"/>
      <c r="AC88" s="517"/>
      <c r="AD88" s="432"/>
      <c r="AE88" s="388"/>
      <c r="AF88" s="388"/>
      <c r="AG88" s="388"/>
      <c r="AH88" s="388"/>
      <c r="AI88" s="388"/>
      <c r="AJ88" s="388"/>
      <c r="AK88" s="388"/>
      <c r="AL88" s="388"/>
      <c r="AM88" s="388"/>
      <c r="AN88" s="388"/>
      <c r="AO88" s="388"/>
      <c r="AP88" s="388"/>
      <c r="AQ88" s="388"/>
      <c r="AR88" s="388"/>
      <c r="AS88" s="388"/>
      <c r="AT88" s="388"/>
      <c r="AU88" s="388"/>
      <c r="AV88" s="388"/>
      <c r="AX88" s="342"/>
      <c r="AY88" s="342"/>
      <c r="AZ88" s="342"/>
      <c r="BA88" s="342"/>
      <c r="BB88" s="342"/>
      <c r="BC88" s="342"/>
      <c r="BD88" s="342"/>
      <c r="BE88" s="342"/>
      <c r="BF88" s="342"/>
      <c r="BG88" s="342"/>
      <c r="BH88" s="342"/>
      <c r="BI88" s="342"/>
      <c r="BJ88" s="342"/>
    </row>
    <row r="89" spans="1:136" ht="15.75" thickBot="1" x14ac:dyDescent="0.3">
      <c r="A89" s="440"/>
      <c r="B89" s="477"/>
      <c r="C89" s="478"/>
      <c r="D89" s="478"/>
      <c r="E89" s="478"/>
      <c r="F89" s="478"/>
      <c r="G89" s="478"/>
      <c r="H89" s="478"/>
      <c r="I89" s="478"/>
      <c r="J89" s="478"/>
      <c r="K89" s="478"/>
      <c r="L89" s="479"/>
      <c r="M89" s="440"/>
      <c r="N89" s="477"/>
      <c r="O89" s="478"/>
      <c r="P89" s="478"/>
      <c r="Q89" s="478"/>
      <c r="R89" s="478"/>
      <c r="S89" s="478"/>
      <c r="T89" s="478"/>
      <c r="U89" s="478"/>
      <c r="V89" s="478"/>
      <c r="W89" s="478"/>
      <c r="X89" s="478"/>
      <c r="Y89" s="478"/>
      <c r="Z89" s="478"/>
      <c r="AA89" s="478"/>
      <c r="AB89" s="478"/>
      <c r="AC89" s="478"/>
      <c r="AD89" s="479"/>
      <c r="AE89" s="440"/>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c r="DQ89" s="388"/>
      <c r="DR89" s="388"/>
      <c r="DS89" s="388"/>
      <c r="DT89" s="388"/>
      <c r="DU89" s="388"/>
      <c r="DV89" s="388"/>
      <c r="DW89" s="388"/>
      <c r="DX89" s="388"/>
      <c r="DY89" s="388"/>
      <c r="DZ89" s="388"/>
      <c r="EA89" s="388"/>
      <c r="EB89" s="388"/>
      <c r="EC89" s="388"/>
      <c r="ED89" s="388"/>
      <c r="EE89" s="388"/>
      <c r="EF89" s="388"/>
    </row>
    <row r="90" spans="1:136" ht="30" customHeight="1" thickBot="1" x14ac:dyDescent="0.3">
      <c r="A90" s="388"/>
      <c r="B90" s="499" t="s">
        <v>65</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1"/>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row>
    <row r="91" spans="1:136" outlineLevel="1" x14ac:dyDescent="0.25">
      <c r="B91" s="412"/>
      <c r="C91" s="413"/>
      <c r="D91" s="413"/>
      <c r="E91" s="413"/>
      <c r="F91" s="413"/>
      <c r="G91" s="413"/>
      <c r="H91" s="413"/>
      <c r="I91" s="413"/>
      <c r="J91" s="413"/>
      <c r="K91" s="413"/>
      <c r="L91" s="414"/>
      <c r="N91" s="412"/>
      <c r="O91" s="413"/>
      <c r="P91" s="413"/>
      <c r="Q91" s="413"/>
      <c r="R91" s="413"/>
      <c r="S91" s="413"/>
      <c r="T91" s="413"/>
      <c r="U91" s="413"/>
      <c r="V91" s="413"/>
      <c r="W91" s="413"/>
      <c r="X91" s="413"/>
      <c r="Y91" s="413"/>
      <c r="Z91" s="413"/>
      <c r="AA91" s="413"/>
      <c r="AB91" s="413"/>
      <c r="AC91" s="413"/>
      <c r="AD91" s="414"/>
    </row>
    <row r="92" spans="1:136"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289"/>
      <c r="W92" s="289"/>
      <c r="X92" s="289"/>
      <c r="Y92" s="289"/>
      <c r="Z92" s="289"/>
      <c r="AA92" s="289"/>
      <c r="AB92" s="289"/>
      <c r="AC92" s="289"/>
      <c r="AD92" s="419"/>
      <c r="AE92" s="388"/>
      <c r="AF92" s="342"/>
      <c r="AG92" s="342"/>
      <c r="AH92" s="342"/>
      <c r="AI92" s="342"/>
      <c r="AJ92" s="342"/>
      <c r="AK92" s="342"/>
      <c r="AL92" s="342"/>
      <c r="AM92" s="342"/>
      <c r="AN92" s="342"/>
      <c r="AO92" s="342"/>
      <c r="AP92" s="342"/>
      <c r="AQ92" s="342"/>
      <c r="AR92" s="342"/>
      <c r="AS92" s="342"/>
      <c r="AT92" s="342"/>
      <c r="AU92" s="342"/>
      <c r="AV92" s="342"/>
      <c r="AX92" s="342"/>
      <c r="AY92" s="342"/>
      <c r="AZ92" s="342"/>
      <c r="BA92" s="342"/>
      <c r="BB92" s="342"/>
      <c r="BC92" s="342"/>
    </row>
    <row r="93" spans="1:136" ht="43.5" customHeight="1" outlineLevel="1" x14ac:dyDescent="0.25">
      <c r="B93" s="486" t="s">
        <v>17</v>
      </c>
      <c r="C93" s="425"/>
      <c r="D93" s="425"/>
      <c r="E93" s="425"/>
      <c r="F93" s="425"/>
      <c r="G93" s="422" t="s">
        <v>479</v>
      </c>
      <c r="H93" s="270"/>
      <c r="I93" s="422" t="s">
        <v>480</v>
      </c>
      <c r="J93" s="447"/>
      <c r="K93" s="447"/>
      <c r="L93" s="401"/>
      <c r="M93" s="342"/>
      <c r="N93" s="269" t="s">
        <v>39</v>
      </c>
      <c r="O93" s="270"/>
      <c r="P93" s="422" t="s">
        <v>481</v>
      </c>
      <c r="Q93" s="270"/>
      <c r="R93" s="425"/>
      <c r="S93" s="422" t="s">
        <v>106</v>
      </c>
      <c r="T93" s="270"/>
      <c r="U93" s="422" t="s">
        <v>107</v>
      </c>
      <c r="V93" s="270"/>
      <c r="W93" s="425"/>
      <c r="X93" s="422" t="s">
        <v>482</v>
      </c>
      <c r="Y93" s="270"/>
      <c r="Z93" s="422" t="s">
        <v>483</v>
      </c>
      <c r="AA93" s="270"/>
      <c r="AB93" s="425"/>
      <c r="AC93" s="422" t="s">
        <v>484</v>
      </c>
      <c r="AD93" s="401"/>
      <c r="AE93" s="388"/>
      <c r="AF93" s="388"/>
      <c r="AG93" s="388"/>
      <c r="AH93" s="388"/>
      <c r="AI93" s="388"/>
      <c r="AJ93" s="388"/>
      <c r="AK93" s="388"/>
      <c r="AL93" s="388"/>
      <c r="AM93" s="388"/>
      <c r="AN93" s="388"/>
      <c r="AO93" s="388"/>
      <c r="AP93" s="388"/>
      <c r="AQ93" s="388"/>
      <c r="AR93" s="388"/>
      <c r="AS93" s="388"/>
      <c r="AT93" s="388"/>
      <c r="AU93" s="388"/>
      <c r="AV93" s="388"/>
      <c r="AX93" s="342"/>
      <c r="AY93" s="342"/>
      <c r="AZ93" s="342"/>
      <c r="BA93" s="342"/>
      <c r="BB93" s="342"/>
      <c r="BC93" s="342"/>
    </row>
    <row r="94" spans="1:136" outlineLevel="1" x14ac:dyDescent="0.25">
      <c r="B94" s="435" t="s">
        <v>18</v>
      </c>
      <c r="C94" s="425"/>
      <c r="D94" s="425"/>
      <c r="E94" s="425"/>
      <c r="F94" s="425"/>
      <c r="G94" s="469"/>
      <c r="H94" s="427" t="s">
        <v>3</v>
      </c>
      <c r="I94" s="448">
        <f>$N$10</f>
        <v>0</v>
      </c>
      <c r="J94" s="449" t="s">
        <v>2</v>
      </c>
      <c r="K94" s="302">
        <f>IF(B94=Annexes!$B$3,G94*I94/100,SUMPRODUCT(G97:G100,I97:I100/100))</f>
        <v>0</v>
      </c>
      <c r="L94" s="428" t="s">
        <v>3</v>
      </c>
      <c r="M94" s="342"/>
      <c r="N94" s="437">
        <f>GENERALITES!$G$53</f>
        <v>47500</v>
      </c>
      <c r="O94" s="427" t="s">
        <v>11</v>
      </c>
      <c r="P94" s="302">
        <f>IF(B94=Annexes!$B$3,G94*N94,SUM(G97:G100)*N94)</f>
        <v>0</v>
      </c>
      <c r="Q94" s="427" t="s">
        <v>6</v>
      </c>
      <c r="R94" s="425"/>
      <c r="S94" s="302">
        <f>'ETAPE 5'!Z94</f>
        <v>0</v>
      </c>
      <c r="T94" s="427" t="s">
        <v>72</v>
      </c>
      <c r="U94" s="448">
        <f>S94*$B$10</f>
        <v>0</v>
      </c>
      <c r="V94" s="427" t="s">
        <v>6</v>
      </c>
      <c r="W94" s="425"/>
      <c r="X94" s="302">
        <f>P94+U94</f>
        <v>0</v>
      </c>
      <c r="Y94" s="427" t="s">
        <v>6</v>
      </c>
      <c r="Z94" s="302">
        <f>IF($E$10&lt;&gt;0,X94/$E$10,0)</f>
        <v>0</v>
      </c>
      <c r="AA94" s="427" t="s">
        <v>72</v>
      </c>
      <c r="AB94" s="425"/>
      <c r="AC94" s="302">
        <f>$N$10/100*U94+IF(B94=Annexes!$B$3,I94/100*P94,IF(SUM(G97:G100)&gt;0,K94/SUM(G97:G100)*P94,0))</f>
        <v>0</v>
      </c>
      <c r="AD94" s="428" t="s">
        <v>6</v>
      </c>
      <c r="AE94" s="388"/>
      <c r="AF94" s="388"/>
      <c r="AG94" s="388"/>
      <c r="AH94" s="388"/>
      <c r="AI94" s="388"/>
      <c r="AJ94" s="388"/>
      <c r="AK94" s="388"/>
      <c r="AL94" s="388"/>
      <c r="AM94" s="388"/>
      <c r="AN94" s="388"/>
      <c r="AO94" s="388"/>
      <c r="AP94" s="388"/>
      <c r="AQ94" s="388"/>
      <c r="AR94" s="388"/>
      <c r="AS94" s="388"/>
      <c r="AT94" s="388"/>
      <c r="AU94" s="388"/>
      <c r="AV94" s="388"/>
      <c r="AX94" s="342"/>
      <c r="AY94" s="342"/>
      <c r="AZ94" s="342"/>
      <c r="BA94" s="342"/>
      <c r="BB94" s="342"/>
      <c r="BC94" s="342"/>
    </row>
    <row r="95" spans="1:136"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20"/>
      <c r="W95" s="420"/>
      <c r="X95" s="420"/>
      <c r="Y95" s="420"/>
      <c r="Z95" s="420"/>
      <c r="AA95" s="420"/>
      <c r="AB95" s="420"/>
      <c r="AC95" s="420"/>
      <c r="AD95" s="432"/>
      <c r="AE95" s="388"/>
      <c r="AF95" s="388"/>
      <c r="AG95" s="388"/>
      <c r="AH95" s="388"/>
      <c r="AI95" s="388"/>
      <c r="AJ95" s="388"/>
      <c r="AK95" s="388"/>
      <c r="AL95" s="388"/>
      <c r="AM95" s="388"/>
      <c r="AN95" s="388"/>
      <c r="AO95" s="388"/>
      <c r="AP95" s="388"/>
      <c r="AQ95" s="388"/>
      <c r="AR95" s="388"/>
      <c r="AS95" s="388"/>
      <c r="AT95" s="388"/>
      <c r="AU95" s="388"/>
      <c r="AV95" s="388"/>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c r="DQ95" s="342"/>
      <c r="DR95" s="342"/>
      <c r="DS95" s="342"/>
      <c r="DT95" s="342"/>
      <c r="DU95" s="342"/>
      <c r="DV95" s="342"/>
      <c r="DW95" s="342"/>
      <c r="DX95" s="342"/>
      <c r="DY95" s="342"/>
      <c r="DZ95" s="342"/>
      <c r="EA95" s="342"/>
      <c r="EB95" s="342"/>
      <c r="EC95" s="342"/>
      <c r="ED95" s="342"/>
      <c r="EE95" s="342"/>
      <c r="EF95" s="342"/>
    </row>
    <row r="96" spans="1:136"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20"/>
      <c r="W96" s="420"/>
      <c r="X96" s="420"/>
      <c r="Y96" s="420"/>
      <c r="Z96" s="420"/>
      <c r="AA96" s="420"/>
      <c r="AB96" s="420"/>
      <c r="AC96" s="420"/>
      <c r="AD96" s="432"/>
      <c r="AE96" s="388"/>
      <c r="AF96" s="388"/>
      <c r="AG96" s="388"/>
      <c r="AH96" s="388"/>
      <c r="AI96" s="388"/>
      <c r="AJ96" s="388"/>
      <c r="AK96" s="388"/>
      <c r="AL96" s="388"/>
      <c r="AM96" s="388"/>
      <c r="AN96" s="388"/>
      <c r="AO96" s="388"/>
      <c r="AP96" s="388"/>
      <c r="AQ96" s="388"/>
      <c r="AR96" s="388"/>
      <c r="AS96" s="388"/>
      <c r="AT96" s="388"/>
      <c r="AU96" s="388"/>
      <c r="AV96" s="388"/>
    </row>
    <row r="97" spans="1:136"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c r="V97" s="420"/>
      <c r="W97" s="420"/>
      <c r="X97" s="420"/>
      <c r="Y97" s="420"/>
      <c r="Z97" s="420"/>
      <c r="AA97" s="420"/>
      <c r="AB97" s="420"/>
      <c r="AC97" s="420"/>
      <c r="AD97" s="432"/>
      <c r="AE97" s="388"/>
      <c r="AF97" s="388"/>
      <c r="AG97" s="388"/>
      <c r="AH97" s="388"/>
      <c r="AI97" s="388"/>
      <c r="AJ97" s="388"/>
      <c r="AK97" s="388"/>
      <c r="AL97" s="388"/>
      <c r="AM97" s="388"/>
      <c r="AN97" s="388"/>
      <c r="AO97" s="388"/>
      <c r="AP97" s="388"/>
      <c r="AQ97" s="388"/>
      <c r="AR97" s="388"/>
      <c r="AS97" s="388"/>
      <c r="AT97" s="388"/>
      <c r="AU97" s="388"/>
      <c r="AV97" s="388"/>
    </row>
    <row r="98" spans="1:136"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20"/>
      <c r="W98" s="420"/>
      <c r="X98" s="420"/>
      <c r="Y98" s="420"/>
      <c r="Z98" s="420"/>
      <c r="AA98" s="420"/>
      <c r="AB98" s="420"/>
      <c r="AC98" s="420"/>
      <c r="AD98" s="432"/>
      <c r="AE98" s="388"/>
      <c r="AF98" s="388"/>
      <c r="AG98" s="388"/>
      <c r="AH98" s="388"/>
      <c r="AI98" s="388"/>
      <c r="AJ98" s="388"/>
      <c r="AK98" s="388"/>
      <c r="AL98" s="388"/>
      <c r="AM98" s="388"/>
      <c r="AN98" s="388"/>
      <c r="AO98" s="388"/>
      <c r="AP98" s="388"/>
      <c r="AQ98" s="388"/>
      <c r="AR98" s="388"/>
      <c r="AS98" s="388"/>
      <c r="AT98" s="388"/>
      <c r="AU98" s="388"/>
      <c r="AV98" s="388"/>
    </row>
    <row r="99" spans="1:136"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20"/>
      <c r="W99" s="420"/>
      <c r="X99" s="420"/>
      <c r="Y99" s="420"/>
      <c r="Z99" s="420"/>
      <c r="AA99" s="420"/>
      <c r="AB99" s="420"/>
      <c r="AC99" s="420"/>
      <c r="AD99" s="432"/>
      <c r="AE99" s="388"/>
      <c r="AF99" s="388"/>
      <c r="AG99" s="388"/>
      <c r="AH99" s="388"/>
      <c r="AI99" s="388"/>
      <c r="AJ99" s="388"/>
      <c r="AK99" s="388"/>
      <c r="AL99" s="388"/>
      <c r="AM99" s="388"/>
      <c r="AN99" s="388"/>
      <c r="AO99" s="388"/>
      <c r="AP99" s="388"/>
      <c r="AQ99" s="388"/>
      <c r="AR99" s="388"/>
      <c r="AS99" s="388"/>
      <c r="AT99" s="388"/>
      <c r="AU99" s="388"/>
      <c r="AV99" s="388"/>
    </row>
    <row r="100" spans="1:136"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20"/>
      <c r="W100" s="420"/>
      <c r="X100" s="420"/>
      <c r="Y100" s="420"/>
      <c r="Z100" s="420"/>
      <c r="AA100" s="420"/>
      <c r="AB100" s="420"/>
      <c r="AC100" s="420"/>
      <c r="AD100" s="432"/>
      <c r="AE100" s="388"/>
      <c r="AF100" s="388"/>
      <c r="AG100" s="388"/>
      <c r="AH100" s="388"/>
      <c r="AI100" s="388"/>
      <c r="AJ100" s="388"/>
      <c r="AK100" s="388"/>
      <c r="AL100" s="388"/>
      <c r="AM100" s="388"/>
      <c r="AN100" s="388"/>
      <c r="AO100" s="388"/>
      <c r="AP100" s="388"/>
      <c r="AQ100" s="388"/>
      <c r="AR100" s="388"/>
      <c r="AS100" s="388"/>
      <c r="AT100" s="388"/>
      <c r="AU100" s="388"/>
      <c r="AV100" s="388"/>
    </row>
    <row r="101" spans="1:136" ht="15.75" thickBot="1" x14ac:dyDescent="0.3">
      <c r="B101" s="521"/>
      <c r="C101" s="522"/>
      <c r="D101" s="522"/>
      <c r="E101" s="522"/>
      <c r="F101" s="522"/>
      <c r="G101" s="522"/>
      <c r="H101" s="522"/>
      <c r="I101" s="522"/>
      <c r="J101" s="522"/>
      <c r="K101" s="522"/>
      <c r="L101" s="523"/>
      <c r="N101" s="521"/>
      <c r="O101" s="522"/>
      <c r="P101" s="522"/>
      <c r="Q101" s="522"/>
      <c r="R101" s="522"/>
      <c r="S101" s="522"/>
      <c r="T101" s="522"/>
      <c r="U101" s="522"/>
      <c r="V101" s="522"/>
      <c r="W101" s="522"/>
      <c r="X101" s="522"/>
      <c r="Y101" s="522"/>
      <c r="Z101" s="522"/>
      <c r="AA101" s="522"/>
      <c r="AB101" s="522"/>
      <c r="AC101" s="522"/>
      <c r="AD101" s="523"/>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c r="DQ101" s="388"/>
      <c r="DR101" s="388"/>
      <c r="DS101" s="388"/>
      <c r="DT101" s="388"/>
      <c r="DU101" s="388"/>
      <c r="DV101" s="388"/>
      <c r="DW101" s="388"/>
      <c r="DX101" s="388"/>
      <c r="DY101" s="388"/>
      <c r="DZ101" s="388"/>
      <c r="EA101" s="388"/>
      <c r="EB101" s="388"/>
      <c r="EC101" s="388"/>
      <c r="ED101" s="388"/>
      <c r="EE101" s="388"/>
      <c r="EF101" s="388"/>
    </row>
    <row r="102" spans="1:136" ht="30" customHeight="1" thickBot="1" x14ac:dyDescent="0.3">
      <c r="A102" s="388"/>
      <c r="B102" s="499" t="s">
        <v>512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1"/>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2"/>
      <c r="BY102" s="342"/>
      <c r="BZ102" s="342"/>
      <c r="CA102" s="342"/>
      <c r="CB102" s="342"/>
      <c r="CC102" s="342"/>
      <c r="CD102" s="342"/>
      <c r="CE102" s="342"/>
      <c r="CF102" s="342"/>
      <c r="CG102" s="342"/>
      <c r="CH102" s="342"/>
      <c r="CI102" s="342"/>
      <c r="CJ102" s="342"/>
      <c r="CK102" s="342"/>
      <c r="CL102" s="342"/>
      <c r="CM102" s="342"/>
      <c r="CN102" s="342"/>
      <c r="CO102" s="342"/>
      <c r="CP102" s="342"/>
      <c r="CQ102" s="342"/>
      <c r="CR102" s="342"/>
      <c r="CS102" s="342"/>
      <c r="CT102" s="342"/>
      <c r="CU102" s="342"/>
      <c r="CV102" s="342"/>
      <c r="CW102" s="342"/>
      <c r="CX102" s="342"/>
      <c r="CY102" s="342"/>
      <c r="CZ102" s="342"/>
      <c r="DA102" s="342"/>
      <c r="DB102" s="342"/>
      <c r="DC102" s="342"/>
      <c r="DD102" s="342"/>
      <c r="DE102" s="342"/>
      <c r="DF102" s="342"/>
      <c r="DG102" s="342"/>
      <c r="DH102" s="342"/>
      <c r="DI102" s="342"/>
      <c r="DJ102" s="342"/>
      <c r="DK102" s="342"/>
      <c r="DL102" s="342"/>
      <c r="DM102" s="342"/>
      <c r="DN102" s="342"/>
      <c r="DO102" s="342"/>
      <c r="DP102" s="342"/>
      <c r="DQ102" s="342"/>
      <c r="DR102" s="342"/>
      <c r="DS102" s="342"/>
      <c r="DT102" s="342"/>
      <c r="DU102" s="342"/>
      <c r="DV102" s="342"/>
      <c r="DW102" s="342"/>
      <c r="DX102" s="342"/>
      <c r="DY102" s="342"/>
      <c r="DZ102" s="342"/>
      <c r="EA102" s="342"/>
      <c r="EB102" s="342"/>
      <c r="EC102" s="342"/>
      <c r="ED102" s="342"/>
      <c r="EE102" s="342"/>
      <c r="EF102" s="342"/>
    </row>
    <row r="103" spans="1:136"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3"/>
      <c r="W103" s="413"/>
      <c r="X103" s="413"/>
      <c r="Y103" s="413"/>
      <c r="Z103" s="413"/>
      <c r="AA103" s="413"/>
      <c r="AB103" s="413"/>
      <c r="AC103" s="413"/>
      <c r="AD103" s="414"/>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c r="DQ103" s="388"/>
      <c r="DR103" s="388"/>
      <c r="DS103" s="388"/>
      <c r="DT103" s="388"/>
      <c r="DU103" s="388"/>
      <c r="DV103" s="388"/>
      <c r="DW103" s="388"/>
      <c r="DX103" s="388"/>
      <c r="DY103" s="388"/>
      <c r="DZ103" s="388"/>
      <c r="EA103" s="388"/>
      <c r="EB103" s="388"/>
      <c r="EC103" s="388"/>
      <c r="ED103" s="388"/>
      <c r="EE103" s="388"/>
      <c r="EF103" s="388"/>
    </row>
    <row r="104" spans="1:136" ht="15" customHeight="1"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289"/>
      <c r="W104" s="289"/>
      <c r="X104" s="289"/>
      <c r="Y104" s="289"/>
      <c r="Z104" s="289"/>
      <c r="AA104" s="289"/>
      <c r="AB104" s="289"/>
      <c r="AC104" s="289"/>
      <c r="AD104" s="419"/>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36" ht="45" customHeight="1" outlineLevel="1" x14ac:dyDescent="0.25">
      <c r="B105" s="471"/>
      <c r="C105" s="425"/>
      <c r="D105" s="425"/>
      <c r="E105" s="425"/>
      <c r="F105" s="425"/>
      <c r="G105" s="524" t="s">
        <v>611</v>
      </c>
      <c r="H105" s="525"/>
      <c r="I105" s="422" t="s">
        <v>618</v>
      </c>
      <c r="J105" s="447"/>
      <c r="K105" s="447"/>
      <c r="L105" s="401"/>
      <c r="M105" s="342"/>
      <c r="N105" s="269" t="s">
        <v>601</v>
      </c>
      <c r="O105" s="270"/>
      <c r="P105" s="425"/>
      <c r="Q105" s="425"/>
      <c r="R105" s="425"/>
      <c r="S105" s="425"/>
      <c r="T105" s="425"/>
      <c r="U105" s="434"/>
      <c r="V105" s="434"/>
      <c r="W105" s="420"/>
      <c r="X105" s="420"/>
      <c r="Y105" s="420"/>
      <c r="Z105" s="420"/>
      <c r="AA105" s="420"/>
      <c r="AB105" s="420"/>
      <c r="AC105" s="422" t="s">
        <v>608</v>
      </c>
      <c r="AD105" s="401"/>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36" outlineLevel="1" x14ac:dyDescent="0.25">
      <c r="B106" s="471"/>
      <c r="C106" s="425"/>
      <c r="D106" s="425"/>
      <c r="E106" s="425"/>
      <c r="F106" s="425"/>
      <c r="G106" s="302">
        <f>$G$16+$K$31</f>
        <v>0</v>
      </c>
      <c r="H106" s="427" t="s">
        <v>1</v>
      </c>
      <c r="I106" s="436"/>
      <c r="J106" s="449" t="s">
        <v>2</v>
      </c>
      <c r="K106" s="302">
        <f>G106*I106/100</f>
        <v>0</v>
      </c>
      <c r="L106" s="428" t="s">
        <v>1</v>
      </c>
      <c r="M106" s="342"/>
      <c r="N106" s="437">
        <f>GENERALITES!$M$63</f>
        <v>350</v>
      </c>
      <c r="O106" s="427" t="s">
        <v>0</v>
      </c>
      <c r="P106" s="425"/>
      <c r="Q106" s="425"/>
      <c r="R106" s="425"/>
      <c r="S106" s="425"/>
      <c r="T106" s="425"/>
      <c r="U106" s="434"/>
      <c r="V106" s="434"/>
      <c r="W106" s="420"/>
      <c r="X106" s="420"/>
      <c r="Y106" s="420"/>
      <c r="Z106" s="420"/>
      <c r="AA106" s="420"/>
      <c r="AB106" s="420"/>
      <c r="AC106" s="302">
        <f>K106*N106</f>
        <v>0</v>
      </c>
      <c r="AD106" s="428" t="s">
        <v>6</v>
      </c>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36" ht="15.75" thickBot="1" x14ac:dyDescent="0.3">
      <c r="B107" s="521"/>
      <c r="C107" s="522"/>
      <c r="D107" s="522"/>
      <c r="E107" s="522"/>
      <c r="F107" s="522"/>
      <c r="G107" s="522"/>
      <c r="H107" s="522"/>
      <c r="I107" s="522"/>
      <c r="J107" s="522"/>
      <c r="K107" s="522"/>
      <c r="L107" s="523"/>
      <c r="N107" s="521"/>
      <c r="O107" s="522"/>
      <c r="P107" s="522"/>
      <c r="Q107" s="522"/>
      <c r="R107" s="522"/>
      <c r="S107" s="522"/>
      <c r="T107" s="522"/>
      <c r="U107" s="522"/>
      <c r="V107" s="522"/>
      <c r="W107" s="522"/>
      <c r="X107" s="522"/>
      <c r="Y107" s="522"/>
      <c r="Z107" s="522"/>
      <c r="AA107" s="522"/>
      <c r="AB107" s="522"/>
      <c r="AC107" s="522"/>
      <c r="AD107" s="523"/>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c r="DQ107" s="388"/>
      <c r="DR107" s="388"/>
      <c r="DS107" s="388"/>
      <c r="DT107" s="388"/>
      <c r="DU107" s="388"/>
      <c r="DV107" s="388"/>
      <c r="DW107" s="388"/>
      <c r="DX107" s="388"/>
      <c r="DY107" s="388"/>
      <c r="DZ107" s="388"/>
      <c r="EA107" s="388"/>
      <c r="EB107" s="388"/>
      <c r="EC107" s="388"/>
      <c r="ED107" s="388"/>
      <c r="EE107" s="388"/>
      <c r="EF107" s="388"/>
    </row>
    <row r="108" spans="1:136" ht="30" customHeight="1" thickBot="1" x14ac:dyDescent="0.3">
      <c r="A108" s="388"/>
      <c r="B108" s="499" t="s">
        <v>513</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1"/>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row>
    <row r="109" spans="1:136"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3"/>
      <c r="W109" s="413"/>
      <c r="X109" s="413"/>
      <c r="Y109" s="413"/>
      <c r="Z109" s="413"/>
      <c r="AA109" s="413"/>
      <c r="AB109" s="413"/>
      <c r="AC109" s="413"/>
      <c r="AD109" s="414"/>
      <c r="AF109" s="412"/>
      <c r="AG109" s="413"/>
      <c r="AH109" s="413"/>
      <c r="AI109" s="413"/>
      <c r="AJ109" s="413"/>
      <c r="AK109" s="413"/>
      <c r="AL109" s="413"/>
      <c r="AM109" s="413"/>
      <c r="AN109" s="413"/>
      <c r="AO109" s="413"/>
      <c r="AP109" s="413"/>
      <c r="AQ109" s="413"/>
      <c r="AR109" s="413"/>
      <c r="AS109" s="413"/>
      <c r="AT109" s="413"/>
      <c r="AU109" s="413"/>
      <c r="AV109" s="414"/>
    </row>
    <row r="110" spans="1:136"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289"/>
      <c r="W110" s="289"/>
      <c r="X110" s="289"/>
      <c r="Y110" s="289"/>
      <c r="Z110" s="289"/>
      <c r="AA110" s="289"/>
      <c r="AB110" s="289"/>
      <c r="AC110" s="289"/>
      <c r="AD110" s="419"/>
      <c r="AE110" s="388"/>
      <c r="AF110" s="418" t="s">
        <v>52</v>
      </c>
      <c r="AG110" s="289"/>
      <c r="AH110" s="289"/>
      <c r="AI110" s="289"/>
      <c r="AJ110" s="289"/>
      <c r="AK110" s="289"/>
      <c r="AL110" s="289"/>
      <c r="AM110" s="289"/>
      <c r="AN110" s="289"/>
      <c r="AO110" s="289"/>
      <c r="AP110" s="289"/>
      <c r="AQ110" s="289"/>
      <c r="AR110" s="289"/>
      <c r="AS110" s="289"/>
      <c r="AT110" s="289"/>
      <c r="AU110" s="289"/>
      <c r="AV110" s="419"/>
      <c r="AX110" s="342"/>
      <c r="AY110" s="342"/>
      <c r="AZ110" s="342"/>
      <c r="BA110" s="342"/>
      <c r="BB110" s="342"/>
      <c r="BC110" s="342"/>
      <c r="BD110" s="342"/>
      <c r="BE110" s="342"/>
      <c r="BF110" s="342"/>
      <c r="BG110" s="342"/>
      <c r="BH110" s="342"/>
      <c r="BI110" s="342"/>
      <c r="BJ110" s="342"/>
    </row>
    <row r="111" spans="1:136" ht="45" customHeight="1" outlineLevel="1" x14ac:dyDescent="0.25">
      <c r="B111" s="421" t="s">
        <v>15</v>
      </c>
      <c r="C111" s="425"/>
      <c r="D111" s="425"/>
      <c r="E111" s="425"/>
      <c r="F111" s="425"/>
      <c r="G111" s="524" t="s">
        <v>611</v>
      </c>
      <c r="H111" s="525"/>
      <c r="I111" s="422" t="s">
        <v>620</v>
      </c>
      <c r="J111" s="447"/>
      <c r="K111" s="447"/>
      <c r="L111" s="401"/>
      <c r="M111" s="342"/>
      <c r="N111" s="269" t="s">
        <v>517</v>
      </c>
      <c r="O111" s="270"/>
      <c r="P111" s="425"/>
      <c r="Q111" s="425"/>
      <c r="R111" s="425"/>
      <c r="S111" s="425"/>
      <c r="T111" s="425"/>
      <c r="U111" s="425"/>
      <c r="V111" s="425"/>
      <c r="W111" s="425"/>
      <c r="X111" s="425"/>
      <c r="Y111" s="425"/>
      <c r="Z111" s="425"/>
      <c r="AA111" s="425"/>
      <c r="AB111" s="425"/>
      <c r="AC111" s="422" t="s">
        <v>525</v>
      </c>
      <c r="AD111" s="401"/>
      <c r="AE111" s="388"/>
      <c r="AF111" s="269" t="s">
        <v>52</v>
      </c>
      <c r="AG111" s="270"/>
      <c r="AH111" s="420"/>
      <c r="AI111" s="420"/>
      <c r="AJ111" s="420"/>
      <c r="AK111" s="420"/>
      <c r="AL111" s="420"/>
      <c r="AM111" s="420"/>
      <c r="AN111" s="420"/>
      <c r="AO111" s="420"/>
      <c r="AP111" s="420"/>
      <c r="AQ111" s="420"/>
      <c r="AR111" s="420"/>
      <c r="AS111" s="420"/>
      <c r="AT111" s="420"/>
      <c r="AU111" s="422" t="s">
        <v>485</v>
      </c>
      <c r="AV111" s="401"/>
      <c r="AX111" s="342"/>
      <c r="AY111" s="342"/>
      <c r="AZ111" s="342"/>
      <c r="BA111" s="342"/>
      <c r="BB111" s="342"/>
      <c r="BC111" s="342"/>
      <c r="BD111" s="342"/>
      <c r="BE111" s="342"/>
      <c r="BF111" s="342"/>
      <c r="BG111" s="342"/>
      <c r="BH111" s="342"/>
      <c r="BI111" s="342"/>
      <c r="BJ111" s="342"/>
    </row>
    <row r="112" spans="1:136" outlineLevel="1" x14ac:dyDescent="0.25">
      <c r="B112" s="426"/>
      <c r="C112" s="425"/>
      <c r="D112" s="425"/>
      <c r="E112" s="425"/>
      <c r="F112" s="425"/>
      <c r="G112" s="302">
        <f>$G$16+$K$31</f>
        <v>0</v>
      </c>
      <c r="H112" s="427" t="s">
        <v>1</v>
      </c>
      <c r="I112" s="302">
        <f>SUM(I114:I117)</f>
        <v>0</v>
      </c>
      <c r="J112" s="449" t="s">
        <v>2</v>
      </c>
      <c r="K112" s="302">
        <f>SUM(K114:K117)</f>
        <v>0</v>
      </c>
      <c r="L112" s="428" t="s">
        <v>1</v>
      </c>
      <c r="M112" s="342"/>
      <c r="N112" s="450"/>
      <c r="O112" s="427" t="s">
        <v>0</v>
      </c>
      <c r="P112" s="425"/>
      <c r="Q112" s="425"/>
      <c r="R112" s="425"/>
      <c r="S112" s="425"/>
      <c r="T112" s="425"/>
      <c r="U112" s="425"/>
      <c r="V112" s="425"/>
      <c r="W112" s="425"/>
      <c r="X112" s="425"/>
      <c r="Y112" s="425"/>
      <c r="Z112" s="425"/>
      <c r="AA112" s="425"/>
      <c r="AB112" s="425"/>
      <c r="AC112" s="302">
        <f>SUMPRODUCT('ETAPE 6'!K114:K117,'ETAPE 6'!N114:N117)</f>
        <v>0</v>
      </c>
      <c r="AD112" s="428" t="s">
        <v>6</v>
      </c>
      <c r="AE112" s="388"/>
      <c r="AF112" s="429"/>
      <c r="AG112" s="430" t="s">
        <v>20</v>
      </c>
      <c r="AH112" s="420"/>
      <c r="AI112" s="420"/>
      <c r="AJ112" s="420"/>
      <c r="AK112" s="420"/>
      <c r="AL112" s="420"/>
      <c r="AM112" s="420"/>
      <c r="AN112" s="420"/>
      <c r="AO112" s="420"/>
      <c r="AP112" s="420"/>
      <c r="AQ112" s="420"/>
      <c r="AR112" s="420"/>
      <c r="AS112" s="420"/>
      <c r="AT112" s="420"/>
      <c r="AU112" s="302">
        <f>SUMPRODUCT('ETAPE 6'!K114:K117,'ETAPE 6'!AF114:AF117)</f>
        <v>0</v>
      </c>
      <c r="AV112" s="428" t="s">
        <v>21</v>
      </c>
      <c r="AX112" s="342"/>
      <c r="AY112" s="342"/>
      <c r="AZ112" s="342"/>
      <c r="BA112" s="342"/>
      <c r="BB112" s="342"/>
      <c r="BC112" s="342"/>
      <c r="BD112" s="342"/>
      <c r="BE112" s="342"/>
      <c r="BF112" s="342"/>
      <c r="BG112" s="342"/>
      <c r="BH112" s="342"/>
      <c r="BI112" s="342"/>
      <c r="BJ112" s="342"/>
    </row>
    <row r="113" spans="1:136" ht="6.75" customHeight="1" outlineLevel="1" x14ac:dyDescent="0.25">
      <c r="A113" s="388"/>
      <c r="B113" s="431"/>
      <c r="C113" s="425"/>
      <c r="D113" s="425"/>
      <c r="E113" s="425"/>
      <c r="F113" s="425"/>
      <c r="G113" s="425"/>
      <c r="H113" s="425"/>
      <c r="I113" s="433"/>
      <c r="J113" s="433"/>
      <c r="K113" s="420"/>
      <c r="L113" s="432"/>
      <c r="M113" s="342"/>
      <c r="N113" s="431"/>
      <c r="O113" s="420"/>
      <c r="P113" s="420"/>
      <c r="Q113" s="420"/>
      <c r="R113" s="420"/>
      <c r="S113" s="420"/>
      <c r="T113" s="420"/>
      <c r="U113" s="420"/>
      <c r="V113" s="420"/>
      <c r="W113" s="420"/>
      <c r="X113" s="420"/>
      <c r="Y113" s="420"/>
      <c r="Z113" s="420"/>
      <c r="AA113" s="420"/>
      <c r="AB113" s="420"/>
      <c r="AC113" s="420"/>
      <c r="AD113" s="432"/>
      <c r="AE113" s="388"/>
      <c r="AF113" s="431"/>
      <c r="AG113" s="420"/>
      <c r="AH113" s="420"/>
      <c r="AI113" s="420"/>
      <c r="AJ113" s="420"/>
      <c r="AK113" s="420"/>
      <c r="AL113" s="420"/>
      <c r="AM113" s="420"/>
      <c r="AN113" s="420"/>
      <c r="AO113" s="420"/>
      <c r="AP113" s="420"/>
      <c r="AQ113" s="420"/>
      <c r="AR113" s="420"/>
      <c r="AS113" s="420"/>
      <c r="AT113" s="420"/>
      <c r="AU113" s="420"/>
      <c r="AV113" s="43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c r="DQ113" s="342"/>
      <c r="DR113" s="342"/>
      <c r="DS113" s="342"/>
      <c r="DT113" s="342"/>
      <c r="DU113" s="342"/>
      <c r="DV113" s="342"/>
      <c r="DW113" s="342"/>
      <c r="DX113" s="342"/>
      <c r="DY113" s="342"/>
      <c r="DZ113" s="342"/>
      <c r="EA113" s="342"/>
      <c r="EB113" s="342"/>
      <c r="EC113" s="342"/>
      <c r="ED113" s="342"/>
      <c r="EE113" s="342"/>
      <c r="EF113" s="342"/>
    </row>
    <row r="114" spans="1:136" outlineLevel="1" x14ac:dyDescent="0.25">
      <c r="B114" s="435"/>
      <c r="C114" s="425"/>
      <c r="D114" s="425"/>
      <c r="E114" s="425"/>
      <c r="F114" s="425"/>
      <c r="G114" s="425"/>
      <c r="H114" s="425"/>
      <c r="I114" s="436"/>
      <c r="J114" s="449" t="s">
        <v>2</v>
      </c>
      <c r="K114" s="302">
        <f>I114/100*$G$112</f>
        <v>0</v>
      </c>
      <c r="L114" s="428" t="s">
        <v>1</v>
      </c>
      <c r="M114" s="342"/>
      <c r="N114" s="437" t="str">
        <f>IF(B114&lt;&gt;0,VLOOKUP(B114,GENERALITES!$B$68:$D$71,3,FALSE),"")</f>
        <v/>
      </c>
      <c r="O114" s="427" t="s">
        <v>0</v>
      </c>
      <c r="P114" s="438"/>
      <c r="Q114" s="438"/>
      <c r="R114" s="438"/>
      <c r="S114" s="438"/>
      <c r="T114" s="438"/>
      <c r="U114" s="438"/>
      <c r="V114" s="438"/>
      <c r="W114" s="438"/>
      <c r="X114" s="438"/>
      <c r="Y114" s="438"/>
      <c r="Z114" s="438"/>
      <c r="AA114" s="438"/>
      <c r="AB114" s="438"/>
      <c r="AC114" s="420"/>
      <c r="AD114" s="432"/>
      <c r="AE114" s="388"/>
      <c r="AF114" s="437" t="str">
        <f>IF(B114&lt;&gt;0,VLOOKUP(B114,GENERALITES!$B$68:$N$71,12,FALSE),"")</f>
        <v/>
      </c>
      <c r="AG114" s="427" t="s">
        <v>20</v>
      </c>
      <c r="AH114" s="420"/>
      <c r="AI114" s="420"/>
      <c r="AJ114" s="420"/>
      <c r="AK114" s="420"/>
      <c r="AL114" s="420"/>
      <c r="AM114" s="420"/>
      <c r="AN114" s="420"/>
      <c r="AO114" s="420"/>
      <c r="AP114" s="420"/>
      <c r="AQ114" s="420"/>
      <c r="AR114" s="420"/>
      <c r="AS114" s="420"/>
      <c r="AT114" s="420"/>
      <c r="AU114" s="420"/>
      <c r="AV114" s="432"/>
    </row>
    <row r="115" spans="1:136" outlineLevel="1" x14ac:dyDescent="0.25">
      <c r="B115" s="435"/>
      <c r="C115" s="425"/>
      <c r="D115" s="425"/>
      <c r="E115" s="425"/>
      <c r="F115" s="425"/>
      <c r="G115" s="425"/>
      <c r="H115" s="425"/>
      <c r="I115" s="436"/>
      <c r="J115" s="449" t="s">
        <v>2</v>
      </c>
      <c r="K115" s="302">
        <f>I115/100*$G$112</f>
        <v>0</v>
      </c>
      <c r="L115" s="428" t="s">
        <v>1</v>
      </c>
      <c r="M115" s="342"/>
      <c r="N115" s="437" t="str">
        <f>IF(B115&lt;&gt;0,VLOOKUP(B115,GENERALITES!$B$68:$D$71,3,FALSE),"")</f>
        <v/>
      </c>
      <c r="O115" s="427" t="s">
        <v>0</v>
      </c>
      <c r="P115" s="438"/>
      <c r="Q115" s="438"/>
      <c r="R115" s="438"/>
      <c r="S115" s="438"/>
      <c r="T115" s="438"/>
      <c r="U115" s="438"/>
      <c r="V115" s="438"/>
      <c r="W115" s="438"/>
      <c r="X115" s="438"/>
      <c r="Y115" s="438"/>
      <c r="Z115" s="438"/>
      <c r="AA115" s="438"/>
      <c r="AB115" s="438"/>
      <c r="AC115" s="420"/>
      <c r="AD115" s="432"/>
      <c r="AE115" s="388"/>
      <c r="AF115" s="437" t="str">
        <f>IF(B115&lt;&gt;0,VLOOKUP(B115,GENERALITES!$B$68:$N$71,12,FALSE),"")</f>
        <v/>
      </c>
      <c r="AG115" s="427" t="s">
        <v>20</v>
      </c>
      <c r="AH115" s="420"/>
      <c r="AI115" s="420"/>
      <c r="AJ115" s="420"/>
      <c r="AK115" s="420"/>
      <c r="AL115" s="420"/>
      <c r="AM115" s="420"/>
      <c r="AN115" s="420"/>
      <c r="AO115" s="420"/>
      <c r="AP115" s="420"/>
      <c r="AQ115" s="420"/>
      <c r="AR115" s="420"/>
      <c r="AS115" s="420"/>
      <c r="AT115" s="420"/>
      <c r="AU115" s="420"/>
      <c r="AV115" s="432"/>
    </row>
    <row r="116" spans="1:136" outlineLevel="1" x14ac:dyDescent="0.25">
      <c r="B116" s="435"/>
      <c r="C116" s="425"/>
      <c r="D116" s="425"/>
      <c r="E116" s="425"/>
      <c r="F116" s="425"/>
      <c r="G116" s="425"/>
      <c r="H116" s="425"/>
      <c r="I116" s="436"/>
      <c r="J116" s="449" t="s">
        <v>2</v>
      </c>
      <c r="K116" s="302">
        <f>I116/100*$G$112</f>
        <v>0</v>
      </c>
      <c r="L116" s="428" t="s">
        <v>1</v>
      </c>
      <c r="M116" s="342"/>
      <c r="N116" s="437" t="str">
        <f>IF(B116&lt;&gt;0,VLOOKUP(B116,GENERALITES!$B$68:$D$71,3,FALSE),"")</f>
        <v/>
      </c>
      <c r="O116" s="427" t="s">
        <v>0</v>
      </c>
      <c r="P116" s="438"/>
      <c r="Q116" s="438"/>
      <c r="R116" s="438"/>
      <c r="S116" s="438"/>
      <c r="T116" s="438"/>
      <c r="U116" s="438"/>
      <c r="V116" s="438"/>
      <c r="W116" s="438"/>
      <c r="X116" s="438"/>
      <c r="Y116" s="438"/>
      <c r="Z116" s="438"/>
      <c r="AA116" s="438"/>
      <c r="AB116" s="438"/>
      <c r="AC116" s="420"/>
      <c r="AD116" s="432"/>
      <c r="AE116" s="388"/>
      <c r="AF116" s="437" t="str">
        <f>IF(B116&lt;&gt;0,VLOOKUP(B116,GENERALITES!$B$68:$N$71,12,FALSE),"")</f>
        <v/>
      </c>
      <c r="AG116" s="427" t="s">
        <v>20</v>
      </c>
      <c r="AH116" s="420"/>
      <c r="AI116" s="420"/>
      <c r="AJ116" s="420"/>
      <c r="AK116" s="420"/>
      <c r="AL116" s="420"/>
      <c r="AM116" s="420"/>
      <c r="AN116" s="420"/>
      <c r="AO116" s="420"/>
      <c r="AP116" s="420"/>
      <c r="AQ116" s="420"/>
      <c r="AR116" s="420"/>
      <c r="AS116" s="420"/>
      <c r="AT116" s="420"/>
      <c r="AU116" s="420"/>
      <c r="AV116" s="432"/>
    </row>
    <row r="117" spans="1:136" outlineLevel="1" x14ac:dyDescent="0.25">
      <c r="B117" s="435"/>
      <c r="C117" s="425"/>
      <c r="D117" s="425"/>
      <c r="E117" s="425"/>
      <c r="F117" s="425"/>
      <c r="G117" s="425"/>
      <c r="H117" s="425"/>
      <c r="I117" s="436"/>
      <c r="J117" s="449" t="s">
        <v>2</v>
      </c>
      <c r="K117" s="302">
        <f>I117/100*$G$112</f>
        <v>0</v>
      </c>
      <c r="L117" s="428" t="s">
        <v>1</v>
      </c>
      <c r="M117" s="342"/>
      <c r="N117" s="437" t="str">
        <f>IF(B117&lt;&gt;0,VLOOKUP(B117,GENERALITES!$B$68:$D$71,3,FALSE),"")</f>
        <v/>
      </c>
      <c r="O117" s="427" t="s">
        <v>0</v>
      </c>
      <c r="P117" s="438"/>
      <c r="Q117" s="438"/>
      <c r="R117" s="438"/>
      <c r="S117" s="438"/>
      <c r="T117" s="438"/>
      <c r="U117" s="438"/>
      <c r="V117" s="438"/>
      <c r="W117" s="438"/>
      <c r="X117" s="438"/>
      <c r="Y117" s="438"/>
      <c r="Z117" s="438"/>
      <c r="AA117" s="438"/>
      <c r="AB117" s="438"/>
      <c r="AC117" s="420"/>
      <c r="AD117" s="432"/>
      <c r="AE117" s="388"/>
      <c r="AF117" s="437" t="str">
        <f>IF(B117&lt;&gt;0,VLOOKUP(B117,GENERALITES!$B$68:$N$71,12,FALSE),"")</f>
        <v/>
      </c>
      <c r="AG117" s="427" t="s">
        <v>20</v>
      </c>
      <c r="AH117" s="420"/>
      <c r="AI117" s="420"/>
      <c r="AJ117" s="420"/>
      <c r="AK117" s="420"/>
      <c r="AL117" s="420"/>
      <c r="AM117" s="420"/>
      <c r="AN117" s="420"/>
      <c r="AO117" s="420"/>
      <c r="AP117" s="420"/>
      <c r="AQ117" s="420"/>
      <c r="AR117" s="420"/>
      <c r="AS117" s="420"/>
      <c r="AT117" s="420"/>
      <c r="AU117" s="420"/>
      <c r="AV117" s="432"/>
    </row>
    <row r="118" spans="1:136" ht="15.75" thickBot="1" x14ac:dyDescent="0.3">
      <c r="A118" s="440"/>
      <c r="B118" s="477"/>
      <c r="C118" s="478"/>
      <c r="D118" s="478"/>
      <c r="E118" s="478"/>
      <c r="F118" s="478"/>
      <c r="G118" s="478"/>
      <c r="H118" s="478"/>
      <c r="I118" s="478"/>
      <c r="J118" s="478"/>
      <c r="K118" s="478"/>
      <c r="L118" s="479"/>
      <c r="M118" s="440"/>
      <c r="N118" s="477"/>
      <c r="O118" s="478"/>
      <c r="P118" s="478"/>
      <c r="Q118" s="478"/>
      <c r="R118" s="478"/>
      <c r="S118" s="478"/>
      <c r="T118" s="478"/>
      <c r="U118" s="478"/>
      <c r="V118" s="478"/>
      <c r="W118" s="478"/>
      <c r="X118" s="478"/>
      <c r="Y118" s="478"/>
      <c r="Z118" s="478"/>
      <c r="AA118" s="478"/>
      <c r="AB118" s="478"/>
      <c r="AC118" s="478"/>
      <c r="AD118" s="479"/>
      <c r="AE118" s="440"/>
      <c r="AF118" s="444"/>
      <c r="AG118" s="445"/>
      <c r="AH118" s="445"/>
      <c r="AI118" s="445"/>
      <c r="AJ118" s="445"/>
      <c r="AK118" s="445"/>
      <c r="AL118" s="445"/>
      <c r="AM118" s="445"/>
      <c r="AN118" s="445"/>
      <c r="AO118" s="445"/>
      <c r="AP118" s="445"/>
      <c r="AQ118" s="445"/>
      <c r="AR118" s="445"/>
      <c r="AS118" s="445"/>
      <c r="AT118" s="445"/>
      <c r="AU118" s="445"/>
      <c r="AV118" s="446"/>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row>
    <row r="119" spans="1:136" ht="30" customHeight="1" thickBot="1" x14ac:dyDescent="0.3">
      <c r="A119" s="388"/>
      <c r="B119" s="499" t="s">
        <v>38</v>
      </c>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1"/>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2"/>
      <c r="DU119" s="342"/>
      <c r="DV119" s="342"/>
      <c r="DW119" s="342"/>
      <c r="DX119" s="342"/>
      <c r="DY119" s="342"/>
      <c r="DZ119" s="342"/>
      <c r="EA119" s="342"/>
      <c r="EB119" s="342"/>
      <c r="EC119" s="342"/>
      <c r="ED119" s="342"/>
      <c r="EE119" s="342"/>
      <c r="EF119" s="342"/>
    </row>
    <row r="120" spans="1:136" ht="15.75" outlineLevel="1" thickBot="1" x14ac:dyDescent="0.3"/>
    <row r="121" spans="1:136" ht="15" customHeight="1" outlineLevel="1" x14ac:dyDescent="0.25">
      <c r="B121" s="526" t="s">
        <v>58</v>
      </c>
      <c r="C121" s="527"/>
      <c r="D121" s="342"/>
      <c r="E121" s="399" t="s">
        <v>57</v>
      </c>
      <c r="F121" s="493"/>
      <c r="G121" s="493"/>
      <c r="H121" s="493"/>
      <c r="I121" s="493"/>
      <c r="J121" s="493"/>
      <c r="K121" s="493"/>
      <c r="L121" s="400"/>
      <c r="M121" s="433"/>
      <c r="N121" s="399" t="s">
        <v>61</v>
      </c>
      <c r="O121" s="493"/>
      <c r="P121" s="493"/>
      <c r="Q121" s="493"/>
      <c r="R121" s="493"/>
      <c r="S121" s="493"/>
      <c r="T121" s="493"/>
      <c r="U121" s="493"/>
      <c r="V121" s="493"/>
      <c r="W121" s="493"/>
      <c r="X121" s="493"/>
      <c r="Y121" s="493"/>
      <c r="Z121" s="493"/>
      <c r="AA121" s="493"/>
      <c r="AB121" s="493"/>
      <c r="AC121" s="493"/>
      <c r="AD121" s="400"/>
      <c r="AE121" s="420"/>
      <c r="AF121" s="399" t="s">
        <v>60</v>
      </c>
      <c r="AG121" s="493"/>
      <c r="AH121" s="493"/>
      <c r="AI121" s="493"/>
      <c r="AJ121" s="493"/>
      <c r="AK121" s="493"/>
      <c r="AL121" s="493"/>
      <c r="AM121" s="493"/>
      <c r="AN121" s="493"/>
      <c r="AO121" s="493"/>
      <c r="AP121" s="493"/>
      <c r="AQ121" s="493"/>
      <c r="AR121" s="493"/>
      <c r="AS121" s="493"/>
      <c r="AT121" s="493"/>
      <c r="AU121" s="493"/>
      <c r="AV121" s="400"/>
      <c r="AW121" s="342"/>
      <c r="AX121" s="342"/>
      <c r="AY121" s="342"/>
      <c r="AZ121" s="342"/>
      <c r="BA121" s="342"/>
      <c r="BB121" s="342"/>
      <c r="BC121" s="342"/>
      <c r="BD121" s="342"/>
      <c r="BE121" s="342"/>
      <c r="BF121" s="342"/>
      <c r="BG121" s="342"/>
      <c r="BH121" s="342"/>
      <c r="BI121" s="342"/>
    </row>
    <row r="122" spans="1:136" ht="43.5" customHeight="1" outlineLevel="1" x14ac:dyDescent="0.25">
      <c r="B122" s="528" t="s">
        <v>583</v>
      </c>
      <c r="C122" s="529"/>
      <c r="D122" s="342"/>
      <c r="E122" s="269" t="s">
        <v>584</v>
      </c>
      <c r="F122" s="270"/>
      <c r="G122" s="422" t="s">
        <v>55</v>
      </c>
      <c r="H122" s="270"/>
      <c r="I122" s="422" t="s">
        <v>558</v>
      </c>
      <c r="J122" s="270"/>
      <c r="K122" s="422" t="s">
        <v>59</v>
      </c>
      <c r="L122" s="401"/>
      <c r="M122" s="420"/>
      <c r="N122" s="471"/>
      <c r="O122" s="425"/>
      <c r="P122" s="422" t="s">
        <v>486</v>
      </c>
      <c r="Q122" s="270"/>
      <c r="R122" s="425"/>
      <c r="S122" s="425"/>
      <c r="T122" s="425"/>
      <c r="U122" s="422" t="s">
        <v>115</v>
      </c>
      <c r="V122" s="270"/>
      <c r="W122" s="425"/>
      <c r="X122" s="422" t="s">
        <v>501</v>
      </c>
      <c r="Y122" s="270"/>
      <c r="Z122" s="422" t="s">
        <v>502</v>
      </c>
      <c r="AA122" s="270"/>
      <c r="AB122" s="425"/>
      <c r="AC122" s="422" t="s">
        <v>487</v>
      </c>
      <c r="AD122" s="401"/>
      <c r="AE122" s="433"/>
      <c r="AF122" s="471"/>
      <c r="AG122" s="425"/>
      <c r="AH122" s="422" t="s">
        <v>488</v>
      </c>
      <c r="AI122" s="270"/>
      <c r="AJ122" s="425"/>
      <c r="AK122" s="425"/>
      <c r="AL122" s="425"/>
      <c r="AM122" s="422" t="s">
        <v>116</v>
      </c>
      <c r="AN122" s="270"/>
      <c r="AO122" s="425"/>
      <c r="AP122" s="422" t="s">
        <v>489</v>
      </c>
      <c r="AQ122" s="270"/>
      <c r="AR122" s="422" t="s">
        <v>490</v>
      </c>
      <c r="AS122" s="270"/>
      <c r="AT122" s="425"/>
      <c r="AU122" s="422" t="s">
        <v>491</v>
      </c>
      <c r="AV122" s="401"/>
      <c r="AW122" s="342"/>
      <c r="AX122" s="342"/>
      <c r="AY122" s="342"/>
      <c r="AZ122" s="342"/>
      <c r="BA122" s="342"/>
      <c r="BB122" s="342"/>
      <c r="BC122" s="342"/>
      <c r="BD122" s="342"/>
      <c r="BE122" s="342"/>
      <c r="BF122" s="342"/>
      <c r="BG122" s="342"/>
      <c r="BH122" s="342"/>
      <c r="BI122" s="342"/>
    </row>
    <row r="123" spans="1:136" ht="15.75" outlineLevel="1" thickBot="1" x14ac:dyDescent="0.3">
      <c r="B123" s="530">
        <f>C16</f>
        <v>0</v>
      </c>
      <c r="C123" s="446" t="s">
        <v>1</v>
      </c>
      <c r="D123" s="342"/>
      <c r="E123" s="408">
        <f>E16</f>
        <v>0</v>
      </c>
      <c r="F123" s="410" t="s">
        <v>1</v>
      </c>
      <c r="G123" s="411">
        <f>G16</f>
        <v>0</v>
      </c>
      <c r="H123" s="410" t="s">
        <v>1</v>
      </c>
      <c r="I123" s="411">
        <f>I16</f>
        <v>0</v>
      </c>
      <c r="J123" s="410" t="s">
        <v>1</v>
      </c>
      <c r="K123" s="411" t="str">
        <f>K16</f>
        <v/>
      </c>
      <c r="L123" s="409" t="s">
        <v>2</v>
      </c>
      <c r="M123" s="420"/>
      <c r="N123" s="494"/>
      <c r="O123" s="495"/>
      <c r="P123" s="411">
        <f>P31+P46+P58+P70+P82+P94</f>
        <v>0</v>
      </c>
      <c r="Q123" s="496" t="s">
        <v>6</v>
      </c>
      <c r="R123" s="495"/>
      <c r="S123" s="495"/>
      <c r="T123" s="495"/>
      <c r="U123" s="411">
        <f>U16+U31+U46+U58+U70+U82+U94</f>
        <v>47630</v>
      </c>
      <c r="V123" s="496" t="s">
        <v>6</v>
      </c>
      <c r="W123" s="495"/>
      <c r="X123" s="411">
        <f>X16+X31+X46+X58+X70+X82+X94</f>
        <v>47630</v>
      </c>
      <c r="Y123" s="410" t="s">
        <v>6</v>
      </c>
      <c r="Z123" s="497">
        <f>Z16+Z31+Z46+Z58+Z70+Z82+Z94</f>
        <v>0</v>
      </c>
      <c r="AA123" s="410" t="s">
        <v>72</v>
      </c>
      <c r="AB123" s="495"/>
      <c r="AC123" s="411">
        <f>AC16+AC31+AC46+AC58+AC70+AC82+AC94+AC106+AC112</f>
        <v>0</v>
      </c>
      <c r="AD123" s="409" t="s">
        <v>6</v>
      </c>
      <c r="AE123" s="433"/>
      <c r="AF123" s="494"/>
      <c r="AG123" s="495"/>
      <c r="AH123" s="497">
        <f>AH31+AH46+AH58+AH70</f>
        <v>0</v>
      </c>
      <c r="AI123" s="410" t="s">
        <v>21</v>
      </c>
      <c r="AJ123" s="495"/>
      <c r="AK123" s="495"/>
      <c r="AL123" s="495"/>
      <c r="AM123" s="497">
        <f>AM16+AM31+AM46+AM58+AM70</f>
        <v>194.15207999999998</v>
      </c>
      <c r="AN123" s="410" t="s">
        <v>21</v>
      </c>
      <c r="AO123" s="495"/>
      <c r="AP123" s="497">
        <f>AP16+AP31+AP46+AP58+AP70</f>
        <v>194.15207999999998</v>
      </c>
      <c r="AQ123" s="410" t="s">
        <v>21</v>
      </c>
      <c r="AR123" s="497">
        <f>AR16+AR31+AR46+AR58+AR70</f>
        <v>0</v>
      </c>
      <c r="AS123" s="410" t="s">
        <v>73</v>
      </c>
      <c r="AT123" s="495"/>
      <c r="AU123" s="411">
        <f>AU16+AU31+AU46+AU58+AU70+AU112</f>
        <v>0</v>
      </c>
      <c r="AV123" s="409" t="s">
        <v>21</v>
      </c>
      <c r="AW123" s="342"/>
      <c r="AX123" s="342"/>
      <c r="AY123" s="342"/>
      <c r="AZ123" s="342"/>
      <c r="BA123" s="342"/>
      <c r="BB123" s="342"/>
      <c r="BC123" s="342"/>
      <c r="BD123" s="342"/>
      <c r="BE123" s="342"/>
      <c r="BF123" s="342"/>
      <c r="BG123" s="342"/>
      <c r="BH123" s="342"/>
      <c r="BI123" s="342"/>
    </row>
    <row r="124" spans="1:136"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row>
    <row r="125" spans="1:136" x14ac:dyDescent="0.25">
      <c r="E125" s="342"/>
      <c r="F125" s="342"/>
      <c r="G125" s="342"/>
      <c r="H125" s="342"/>
      <c r="I125" s="342"/>
      <c r="J125" s="342"/>
      <c r="K125" s="342"/>
      <c r="L125" s="342"/>
    </row>
    <row r="126" spans="1:136" x14ac:dyDescent="0.25">
      <c r="E126" s="342"/>
      <c r="F126" s="342"/>
      <c r="G126" s="342"/>
      <c r="H126" s="342"/>
      <c r="I126" s="342"/>
      <c r="J126" s="342"/>
      <c r="K126" s="342"/>
      <c r="L126" s="342"/>
    </row>
    <row r="127" spans="1:136" x14ac:dyDescent="0.25">
      <c r="E127" s="342"/>
      <c r="F127" s="342"/>
      <c r="G127" s="342"/>
      <c r="H127" s="342"/>
      <c r="I127" s="342"/>
      <c r="J127" s="342"/>
      <c r="K127" s="342"/>
      <c r="L127" s="342"/>
    </row>
    <row r="129" spans="2:12" x14ac:dyDescent="0.25">
      <c r="B129" s="342"/>
      <c r="C129" s="342"/>
      <c r="D129" s="342"/>
      <c r="E129" s="342"/>
      <c r="F129" s="342"/>
      <c r="G129" s="342"/>
      <c r="H129" s="342"/>
      <c r="I129" s="342"/>
      <c r="J129" s="342"/>
      <c r="K129" s="342"/>
      <c r="L129" s="342"/>
    </row>
    <row r="130" spans="2:12" x14ac:dyDescent="0.25">
      <c r="B130" s="342"/>
      <c r="C130" s="342"/>
      <c r="D130" s="342"/>
      <c r="E130" s="342"/>
      <c r="F130" s="342"/>
      <c r="G130" s="342"/>
      <c r="H130" s="342"/>
      <c r="I130" s="342"/>
      <c r="J130" s="342"/>
      <c r="K130" s="342"/>
      <c r="L130" s="342"/>
    </row>
    <row r="131" spans="2:12" x14ac:dyDescent="0.25">
      <c r="B131" s="342"/>
      <c r="C131" s="342"/>
      <c r="D131" s="342"/>
      <c r="E131" s="342"/>
      <c r="F131" s="342"/>
      <c r="G131" s="342"/>
      <c r="H131" s="342"/>
      <c r="I131" s="342"/>
      <c r="J131" s="342"/>
      <c r="K131" s="342"/>
      <c r="L131" s="342"/>
    </row>
  </sheetData>
  <sheetProtection algorithmName="SHA-512" hashValue="+wPLjJm8i+r3M9Ingq44bFuGwpO4QKOm4CfMF8scDSrR/mOQAJ1F4+c3LGyhiPzAde/0U8mwPFaEzltYbP7RLQ==" saltValue="9cVi67NmQ72rKPQ7DacpiQ==" spinCount="100000" sheet="1" objects="1" scenarios="1"/>
  <mergeCells count="178">
    <mergeCell ref="B1:G1"/>
    <mergeCell ref="AC122:AD122"/>
    <mergeCell ref="AH122:AI122"/>
    <mergeCell ref="AM122:AN122"/>
    <mergeCell ref="AP122:AQ122"/>
    <mergeCell ref="AR122:AS122"/>
    <mergeCell ref="AU122:AV122"/>
    <mergeCell ref="G111:H111"/>
    <mergeCell ref="B122:C122"/>
    <mergeCell ref="E122:F122"/>
    <mergeCell ref="G122:H122"/>
    <mergeCell ref="I122:J122"/>
    <mergeCell ref="K122:L122"/>
    <mergeCell ref="P122:Q122"/>
    <mergeCell ref="U122:V122"/>
    <mergeCell ref="X122:Y122"/>
    <mergeCell ref="Z122:AA122"/>
    <mergeCell ref="B111:B112"/>
    <mergeCell ref="I111:L111"/>
    <mergeCell ref="N111:O111"/>
    <mergeCell ref="AC111:AD111"/>
    <mergeCell ref="AF111:AG111"/>
    <mergeCell ref="AU111:AV111"/>
    <mergeCell ref="N121:AD121"/>
    <mergeCell ref="AF121:AV121"/>
    <mergeCell ref="B119:AV119"/>
    <mergeCell ref="B121:C121"/>
    <mergeCell ref="E121:L121"/>
    <mergeCell ref="B102:AV102"/>
    <mergeCell ref="B104:L104"/>
    <mergeCell ref="N104:AD104"/>
    <mergeCell ref="I105:L105"/>
    <mergeCell ref="N105:O105"/>
    <mergeCell ref="AC105:AD105"/>
    <mergeCell ref="B108:AV108"/>
    <mergeCell ref="B110:L110"/>
    <mergeCell ref="N110:AD110"/>
    <mergeCell ref="AF110:AV110"/>
    <mergeCell ref="G105:H105"/>
    <mergeCell ref="B78:H78"/>
    <mergeCell ref="B80:L80"/>
    <mergeCell ref="N80:AD80"/>
    <mergeCell ref="G81:H81"/>
    <mergeCell ref="I81:L81"/>
    <mergeCell ref="N81:O81"/>
    <mergeCell ref="P81:Q81"/>
    <mergeCell ref="S81:T81"/>
    <mergeCell ref="U81:V81"/>
    <mergeCell ref="X81:Y81"/>
    <mergeCell ref="Z81:AA81"/>
    <mergeCell ref="AC81:AD81"/>
    <mergeCell ref="B66:H66"/>
    <mergeCell ref="B68:L68"/>
    <mergeCell ref="N68:AD68"/>
    <mergeCell ref="AF68:AV68"/>
    <mergeCell ref="AC57:AD57"/>
    <mergeCell ref="AF57:AG57"/>
    <mergeCell ref="AR69:AS69"/>
    <mergeCell ref="AU69:AV69"/>
    <mergeCell ref="G72:H72"/>
    <mergeCell ref="U69:V69"/>
    <mergeCell ref="X69:Y69"/>
    <mergeCell ref="Z69:AA69"/>
    <mergeCell ref="AC69:AD69"/>
    <mergeCell ref="AF69:AG69"/>
    <mergeCell ref="AH69:AI69"/>
    <mergeCell ref="AK69:AL69"/>
    <mergeCell ref="AM69:AN69"/>
    <mergeCell ref="AP69:AQ69"/>
    <mergeCell ref="G84:H84"/>
    <mergeCell ref="B90:AV90"/>
    <mergeCell ref="B92:L92"/>
    <mergeCell ref="N92:AD92"/>
    <mergeCell ref="G93:H93"/>
    <mergeCell ref="I93:L93"/>
    <mergeCell ref="N93:O93"/>
    <mergeCell ref="P93:Q93"/>
    <mergeCell ref="S93:T93"/>
    <mergeCell ref="U93:V93"/>
    <mergeCell ref="X93:Y93"/>
    <mergeCell ref="Z93:AA93"/>
    <mergeCell ref="AC93:AD93"/>
    <mergeCell ref="B54:H54"/>
    <mergeCell ref="B56:L56"/>
    <mergeCell ref="N56:AD56"/>
    <mergeCell ref="AF56:AV56"/>
    <mergeCell ref="G69:H69"/>
    <mergeCell ref="I69:L69"/>
    <mergeCell ref="N69:O69"/>
    <mergeCell ref="P69:Q69"/>
    <mergeCell ref="S69:T69"/>
    <mergeCell ref="G57:H57"/>
    <mergeCell ref="I57:L57"/>
    <mergeCell ref="N57:O57"/>
    <mergeCell ref="P57:Q57"/>
    <mergeCell ref="S57:T57"/>
    <mergeCell ref="U57:V57"/>
    <mergeCell ref="X57:Y57"/>
    <mergeCell ref="Z57:AA57"/>
    <mergeCell ref="AH57:AI57"/>
    <mergeCell ref="AK57:AL57"/>
    <mergeCell ref="AM57:AN57"/>
    <mergeCell ref="AP57:AQ57"/>
    <mergeCell ref="AR57:AS57"/>
    <mergeCell ref="AU57:AV57"/>
    <mergeCell ref="G60:H60"/>
    <mergeCell ref="B42:H42"/>
    <mergeCell ref="B44:L44"/>
    <mergeCell ref="N44:AD44"/>
    <mergeCell ref="AF44:AV44"/>
    <mergeCell ref="G45:H45"/>
    <mergeCell ref="I45:L45"/>
    <mergeCell ref="N45:O45"/>
    <mergeCell ref="P45:Q45"/>
    <mergeCell ref="S45:T45"/>
    <mergeCell ref="U45:V45"/>
    <mergeCell ref="AM45:AN45"/>
    <mergeCell ref="AP45:AQ45"/>
    <mergeCell ref="AR45:AS45"/>
    <mergeCell ref="AU45:AV45"/>
    <mergeCell ref="AC45:AD45"/>
    <mergeCell ref="AF45:AG45"/>
    <mergeCell ref="AH45:AI45"/>
    <mergeCell ref="AK45:AL45"/>
    <mergeCell ref="X45:Y45"/>
    <mergeCell ref="Z45:AA45"/>
    <mergeCell ref="AK30:AL30"/>
    <mergeCell ref="AM30:AN30"/>
    <mergeCell ref="AP30:AQ30"/>
    <mergeCell ref="AR30:AS30"/>
    <mergeCell ref="AU30:AV30"/>
    <mergeCell ref="B40:AV40"/>
    <mergeCell ref="U30:V30"/>
    <mergeCell ref="X30:Y30"/>
    <mergeCell ref="Z30:AA30"/>
    <mergeCell ref="AC30:AD30"/>
    <mergeCell ref="AF30:AG30"/>
    <mergeCell ref="AH30:AI30"/>
    <mergeCell ref="B30:B31"/>
    <mergeCell ref="G30:H30"/>
    <mergeCell ref="I30:L30"/>
    <mergeCell ref="N30:O30"/>
    <mergeCell ref="P30:Q30"/>
    <mergeCell ref="S30:T30"/>
    <mergeCell ref="AP15:AQ15"/>
    <mergeCell ref="AR15:AS15"/>
    <mergeCell ref="AU15:AV15"/>
    <mergeCell ref="B27:AV27"/>
    <mergeCell ref="B29:L29"/>
    <mergeCell ref="N29:AD29"/>
    <mergeCell ref="AF29:AV29"/>
    <mergeCell ref="U15:V15"/>
    <mergeCell ref="X15:Y15"/>
    <mergeCell ref="Z15:AA15"/>
    <mergeCell ref="AC15:AD15"/>
    <mergeCell ref="AK15:AL15"/>
    <mergeCell ref="AM15:AN15"/>
    <mergeCell ref="B15:B16"/>
    <mergeCell ref="C15:D15"/>
    <mergeCell ref="S15:T15"/>
    <mergeCell ref="E15:F15"/>
    <mergeCell ref="G15:H15"/>
    <mergeCell ref="I15:J15"/>
    <mergeCell ref="K15:L15"/>
    <mergeCell ref="N2:Z4"/>
    <mergeCell ref="B12:AV12"/>
    <mergeCell ref="B14:L14"/>
    <mergeCell ref="N14:AD14"/>
    <mergeCell ref="AF14:AV14"/>
    <mergeCell ref="B6:AV6"/>
    <mergeCell ref="B8:C8"/>
    <mergeCell ref="B9:C9"/>
    <mergeCell ref="E9:F9"/>
    <mergeCell ref="G9:H9"/>
    <mergeCell ref="I9:J9"/>
    <mergeCell ref="E8:J8"/>
    <mergeCell ref="N9:O9"/>
    <mergeCell ref="B4:L4"/>
  </mergeCells>
  <conditionalFormatting sqref="N10">
    <cfRule type="expression" dxfId="19" priority="1">
      <formula>IF($N$10&gt;100,TRUE,FALSE)</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D891A05-3935-49F8-9026-E4DB819C8FA8}">
            <xm:f>IF($B$46=Annexes!$B$3,TRUE,FALSE)</xm:f>
            <x14:dxf>
              <fill>
                <patternFill>
                  <bgColor theme="7" tint="0.79998168889431442"/>
                </patternFill>
              </fill>
            </x14:dxf>
          </x14:cfRule>
          <xm:sqref>G46</xm:sqref>
        </x14:conditionalFormatting>
        <x14:conditionalFormatting xmlns:xm="http://schemas.microsoft.com/office/excel/2006/main">
          <x14:cfRule type="expression" priority="4" id="{DDAAB39D-AF7F-4691-806B-80459924F985}">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3" id="{A6375388-EAE7-465D-9336-9AD05892804A}">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5" id="{E3377154-6B8E-4383-AD6C-BED3420E7F8C}">
            <xm:f>IF($B$58=Annexes!$B$3,TRUE,FALSE)</xm:f>
            <x14:dxf>
              <fill>
                <patternFill>
                  <bgColor theme="7" tint="0.79998168889431442"/>
                </patternFill>
              </fill>
            </x14:dxf>
          </x14:cfRule>
          <xm:sqref>G58</xm:sqref>
        </x14:conditionalFormatting>
        <x14:conditionalFormatting xmlns:xm="http://schemas.microsoft.com/office/excel/2006/main">
          <x14:cfRule type="expression" priority="7" id="{80DE1D8C-3D19-4E8A-A975-802476C707A0}">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6" id="{556E15CB-B460-480B-A8E2-A37DD0E14D2C}">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8" id="{BA1FB7E4-F236-4556-B6C8-C7EC8C0B7519}">
            <xm:f>IF($B$70=Annexes!$B$3,TRUE,FALSE)</xm:f>
            <x14:dxf>
              <fill>
                <patternFill>
                  <bgColor theme="7" tint="0.79998168889431442"/>
                </patternFill>
              </fill>
            </x14:dxf>
          </x14:cfRule>
          <xm:sqref>G70</xm:sqref>
        </x14:conditionalFormatting>
        <x14:conditionalFormatting xmlns:xm="http://schemas.microsoft.com/office/excel/2006/main">
          <x14:cfRule type="expression" priority="10" id="{BD8E7B39-CE28-46B0-9E7A-B118922E4538}">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9" id="{0FA1A508-73F0-4C04-9F5C-EAEA1A53E34F}">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11" id="{025AAB3F-7A0D-44A1-A17E-03A12D3BD6F3}">
            <xm:f>IF($B$82=Annexes!$B$3,TRUE,FALSE)</xm:f>
            <x14:dxf>
              <fill>
                <patternFill>
                  <bgColor theme="7" tint="0.79998168889431442"/>
                </patternFill>
              </fill>
            </x14:dxf>
          </x14:cfRule>
          <xm:sqref>G82</xm:sqref>
        </x14:conditionalFormatting>
        <x14:conditionalFormatting xmlns:xm="http://schemas.microsoft.com/office/excel/2006/main">
          <x14:cfRule type="expression" priority="13" id="{EA5498E9-F893-459B-A5CD-E2798735272B}">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12" id="{D6197AE6-1BFC-4146-B36D-D25FC449F82E}">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14" id="{8FC7AA40-4B9A-4DE2-8C2C-09979C7503D6}">
            <xm:f>IF($B$94=Annexes!$B$3,TRUE,FALSE)</xm:f>
            <x14:dxf>
              <fill>
                <patternFill>
                  <bgColor theme="7" tint="0.79998168889431442"/>
                </patternFill>
              </fill>
            </x14:dxf>
          </x14:cfRule>
          <xm:sqref>G94</xm:sqref>
        </x14:conditionalFormatting>
        <x14:conditionalFormatting xmlns:xm="http://schemas.microsoft.com/office/excel/2006/main">
          <x14:cfRule type="expression" priority="15" id="{7FEB7C25-F215-46FE-A2B2-BB41C9069255}">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16" id="{14DCE6E3-C898-46FE-A2E7-D74009697057}">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GENERALITES!$B$21:$B$31</xm:f>
          </x14:formula1>
          <xm:sqref>B18:B25</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GENERALITES!$B$36:$B$41</xm:f>
          </x14:formula1>
          <xm:sqref>B33:B38</xm:sqref>
        </x14:dataValidation>
        <x14:dataValidation type="list" allowBlank="1" showInputMessage="1" showErrorMessage="1">
          <x14:formula1>
            <xm:f>Annexes!$B$3:$B$4</xm:f>
          </x14:formula1>
          <xm:sqref>B46 B58 B70 B82 B94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U119"/>
  <sheetViews>
    <sheetView showGridLines="0" zoomScaleNormal="100" workbookViewId="0"/>
  </sheetViews>
  <sheetFormatPr baseColWidth="10" defaultRowHeight="15" outlineLevelRow="1" x14ac:dyDescent="0.25"/>
  <cols>
    <col min="1" max="1" width="4.7109375" style="544" customWidth="1"/>
    <col min="2" max="2" width="21" style="544" customWidth="1"/>
    <col min="3" max="3" width="31.28515625" style="544" customWidth="1"/>
    <col min="4" max="4" width="1" style="544" customWidth="1"/>
    <col min="5" max="10" width="19.7109375" style="544" customWidth="1"/>
    <col min="11" max="11" width="1" style="544" customWidth="1"/>
    <col min="12" max="12" width="19.7109375" style="545" customWidth="1"/>
    <col min="13" max="13" width="2.28515625" style="342" customWidth="1"/>
    <col min="14" max="14" width="7.85546875" style="546" bestFit="1" customWidth="1"/>
    <col min="15" max="15" width="18.7109375" style="544" customWidth="1"/>
    <col min="16" max="16" width="9.42578125" style="544" customWidth="1"/>
    <col min="17" max="17" width="6.28515625" style="544" customWidth="1"/>
    <col min="18" max="18" width="9.42578125" style="544" customWidth="1"/>
    <col min="19" max="19" width="9.28515625" style="544" bestFit="1" customWidth="1"/>
    <col min="20" max="20" width="2.140625" style="544" customWidth="1"/>
    <col min="21" max="21" width="9.42578125" style="544" customWidth="1"/>
    <col min="22" max="22" width="6.28515625" style="544" customWidth="1"/>
    <col min="23" max="23" width="1.140625" style="544" customWidth="1"/>
    <col min="24" max="24" width="9.42578125" style="544" customWidth="1"/>
    <col min="25" max="25" width="6.28515625" style="544" customWidth="1"/>
    <col min="26" max="26" width="1.140625" style="544" customWidth="1"/>
    <col min="27" max="27" width="9.42578125" style="544" customWidth="1"/>
    <col min="28" max="28" width="6.28515625" style="544" customWidth="1"/>
    <col min="29" max="29" width="11.42578125" style="544"/>
    <col min="30" max="30" width="6.28515625" style="544" customWidth="1"/>
    <col min="31" max="31" width="1.140625" style="544" customWidth="1"/>
    <col min="32" max="32" width="9.42578125" style="544" customWidth="1"/>
    <col min="33" max="33" width="6.28515625" style="544" customWidth="1"/>
    <col min="34" max="34" width="9.42578125" style="544" customWidth="1"/>
    <col min="35" max="35" width="6.28515625" style="544" customWidth="1"/>
    <col min="36" max="36" width="1.140625" style="544" customWidth="1"/>
    <col min="37" max="37" width="9.42578125" style="544" customWidth="1"/>
    <col min="38" max="38" width="6.28515625" style="544" customWidth="1"/>
    <col min="39" max="39" width="2.140625" style="544" customWidth="1"/>
    <col min="40" max="40" width="9.42578125" style="544" customWidth="1"/>
    <col min="41" max="41" width="6.28515625" style="544" customWidth="1"/>
    <col min="42" max="42" width="9.42578125" style="544" customWidth="1"/>
    <col min="43" max="43" width="6.28515625" style="544" customWidth="1"/>
    <col min="44" max="44" width="1.140625" style="544" customWidth="1"/>
    <col min="45" max="45" width="11.42578125" style="544"/>
    <col min="46" max="46" width="6.28515625" style="544" customWidth="1"/>
    <col min="47" max="47" width="9.42578125" style="544" customWidth="1"/>
    <col min="48" max="48" width="6.28515625" style="544" customWidth="1"/>
    <col min="49" max="49" width="1.140625" style="544" customWidth="1"/>
    <col min="50" max="50" width="9.42578125" style="544" customWidth="1"/>
    <col min="51" max="51" width="6.28515625" style="544" customWidth="1"/>
    <col min="52" max="52" width="9.42578125" style="544" customWidth="1"/>
    <col min="53" max="53" width="11.42578125" style="544"/>
    <col min="54" max="54" width="1.140625" style="544" customWidth="1"/>
    <col min="55" max="55" width="9.42578125" style="544" customWidth="1"/>
    <col min="56" max="56" width="6.28515625" style="544" customWidth="1"/>
    <col min="57" max="16384" width="11.42578125" style="544"/>
  </cols>
  <sheetData>
    <row r="1" spans="1:16" ht="24" thickBot="1" x14ac:dyDescent="0.4">
      <c r="A1" s="543"/>
      <c r="B1" s="178" t="s">
        <v>722</v>
      </c>
      <c r="C1" s="179"/>
      <c r="D1" s="179"/>
      <c r="E1" s="179"/>
      <c r="F1" s="179"/>
      <c r="G1" s="180"/>
    </row>
    <row r="2" spans="1:16" x14ac:dyDescent="0.25">
      <c r="A2" s="398"/>
      <c r="B2" s="398"/>
      <c r="C2" s="398"/>
    </row>
    <row r="3" spans="1:16" x14ac:dyDescent="0.25">
      <c r="A3" s="237"/>
    </row>
    <row r="4" spans="1:16" ht="31.5" customHeight="1" x14ac:dyDescent="0.25">
      <c r="B4" s="547" t="s">
        <v>503</v>
      </c>
      <c r="C4" s="547"/>
      <c r="D4" s="547"/>
      <c r="E4" s="547"/>
      <c r="F4" s="547"/>
      <c r="G4" s="547"/>
      <c r="H4" s="547"/>
      <c r="I4" s="547"/>
      <c r="J4" s="547"/>
      <c r="K4" s="547"/>
      <c r="L4" s="547"/>
    </row>
    <row r="5" spans="1:16" x14ac:dyDescent="0.25">
      <c r="O5" s="237"/>
    </row>
    <row r="6" spans="1:16" x14ac:dyDescent="0.25">
      <c r="B6" s="548" t="s">
        <v>527</v>
      </c>
      <c r="C6" s="549" t="s">
        <v>804</v>
      </c>
      <c r="D6" s="342"/>
      <c r="E6" s="237"/>
      <c r="O6" s="237"/>
    </row>
    <row r="7" spans="1:16" ht="15.75" thickBot="1" x14ac:dyDescent="0.3">
      <c r="O7" s="237"/>
    </row>
    <row r="8" spans="1:16" ht="57.75" customHeight="1" thickBot="1" x14ac:dyDescent="0.3">
      <c r="B8" s="499" t="s">
        <v>729</v>
      </c>
      <c r="C8" s="501"/>
      <c r="E8" s="550" t="str">
        <f>IF(ISBLANK('ETAPE 1'!$B$4),0,'ETAPE 1'!$B$4)</f>
        <v>réception</v>
      </c>
      <c r="F8" s="550" t="str">
        <f>IF(ISBLANK('ETAPE 2'!$B$4),0,'ETAPE 2'!$B$4)</f>
        <v>calibration/lavage</v>
      </c>
      <c r="G8" s="550" t="str">
        <f>IF(ISBLANK('ETAPE 3'!$B$4),0,'ETAPE 3'!$B$4)</f>
        <v>séchage</v>
      </c>
      <c r="H8" s="550" t="str">
        <f>IF(ISBLANK('ETAPE 4'!$B$4),0,'ETAPE 4'!$B$4)</f>
        <v>conditionnement</v>
      </c>
      <c r="I8" s="550">
        <f>IF(ISBLANK('ETAPE 5'!$B$4),0,'ETAPE 5'!$B$4)</f>
        <v>0</v>
      </c>
      <c r="J8" s="550" t="str">
        <f>IF(ISBLANK('ETAPE 6'!$B$4),"0",'ETAPE 6'!$B$4)</f>
        <v>0</v>
      </c>
      <c r="L8" s="551" t="s">
        <v>526</v>
      </c>
      <c r="O8" s="237"/>
    </row>
    <row r="9" spans="1:16" x14ac:dyDescent="0.25">
      <c r="P9" s="237"/>
    </row>
    <row r="10" spans="1:16" ht="30" customHeight="1" x14ac:dyDescent="0.25">
      <c r="B10" s="552" t="s">
        <v>545</v>
      </c>
      <c r="C10" s="553"/>
      <c r="D10" s="553"/>
      <c r="E10" s="553"/>
      <c r="F10" s="553"/>
      <c r="G10" s="553"/>
      <c r="H10" s="553"/>
      <c r="I10" s="553"/>
      <c r="J10" s="553"/>
      <c r="K10" s="553"/>
      <c r="L10" s="554"/>
    </row>
    <row r="11" spans="1:16" ht="8.25" customHeight="1" x14ac:dyDescent="0.25"/>
    <row r="12" spans="1:16" x14ac:dyDescent="0.25">
      <c r="B12" s="555" t="s">
        <v>571</v>
      </c>
      <c r="C12" s="556"/>
      <c r="D12" s="557"/>
      <c r="E12" s="558">
        <f>IF(ISBLANK('ETAPE 1'!$B$4),0,'ETAPE 1'!$B$123)</f>
        <v>23.720000000000002</v>
      </c>
      <c r="F12" s="558">
        <f>IF(ISBLANK('ETAPE 2'!$B$4),0,'ETAPE 2'!$B$123)</f>
        <v>22.99</v>
      </c>
      <c r="G12" s="558">
        <f>IF(ISBLANK('ETAPE 3'!$B$4),0,'ETAPE 3'!$B$123)</f>
        <v>22.5</v>
      </c>
      <c r="H12" s="558">
        <f>IF(ISBLANK('ETAPE 4'!$B$4),0,'ETAPE 4'!$B$123)</f>
        <v>5.5600000000000005</v>
      </c>
      <c r="I12" s="558">
        <f>IF(ISBLANK('ETAPE 5'!$B$4),0,'ETAPE 5'!$B$123)</f>
        <v>0</v>
      </c>
      <c r="J12" s="558">
        <f>IF(ISBLANK('ETAPE 6'!$B$4),0,'ETAPE 6'!$B$123)</f>
        <v>0</v>
      </c>
      <c r="K12" s="559"/>
      <c r="L12" s="558">
        <f>E12</f>
        <v>23.720000000000002</v>
      </c>
      <c r="N12" s="560"/>
    </row>
    <row r="13" spans="1:16" outlineLevel="1" x14ac:dyDescent="0.25">
      <c r="B13" s="561" t="s">
        <v>560</v>
      </c>
      <c r="C13" s="562" t="str">
        <f>GENERALITES!$B$21</f>
        <v>tomates grappe</v>
      </c>
      <c r="E13" s="563">
        <f>IF(ISBLANK('ETAPE 1'!$B$4),0,IF($C13&lt;&gt;0,VLOOKUP('SYNTHESE EXCEL'!$C13,'ETAPE 1'!$B$18:$C$25,2,FALSE),0))</f>
        <v>23</v>
      </c>
      <c r="F13" s="563">
        <f>IF(ISBLANK('ETAPE 2'!$B$4),0,IF($C13&lt;&gt;0,VLOOKUP('SYNTHESE EXCEL'!$C13,'ETAPE 2'!$B$18:$C$25,2,FALSE),0))</f>
        <v>22.99</v>
      </c>
      <c r="G13" s="563">
        <f>IF(ISBLANK('ETAPE 3'!$B$4),0,IF($C13&lt;&gt;0,VLOOKUP('SYNTHESE EXCEL'!$C13,'ETAPE 3'!$B$18:$C$25,2,FALSE),0))</f>
        <v>22.5</v>
      </c>
      <c r="H13" s="563">
        <f>IF(ISBLANK('ETAPE 4'!$B$4),0,IF($C13&lt;&gt;0,VLOOKUP('SYNTHESE EXCEL'!$C13,'ETAPE 4'!$B$18:$C$25,2,FALSE),0))</f>
        <v>4.95</v>
      </c>
      <c r="I13" s="563">
        <f>IF(ISBLANK('ETAPE 5'!$B$4),0,IF($C13&lt;&gt;0,VLOOKUP('SYNTHESE EXCEL'!$C13,'ETAPE 5'!$B$18:$C$25,2,FALSE),0))</f>
        <v>0</v>
      </c>
      <c r="J13" s="563">
        <f>IF(ISBLANK('ETAPE 6'!$B$4),0,IF($C13&lt;&gt;0,VLOOKUP('SYNTHESE EXCEL'!$C13,'ETAPE 6'!$B$18:$C$25,2,FALSE),0))</f>
        <v>0</v>
      </c>
      <c r="K13" s="564"/>
      <c r="L13" s="558">
        <f>E13</f>
        <v>23</v>
      </c>
    </row>
    <row r="14" spans="1:16" outlineLevel="1" x14ac:dyDescent="0.25">
      <c r="B14" s="561"/>
      <c r="C14" s="562" t="str">
        <f>GENERALITES!$B$22</f>
        <v>herbes de provence</v>
      </c>
      <c r="E14" s="563">
        <f>IF(ISBLANK('ETAPE 1'!$B$4),0,IF($C14&lt;&gt;0,VLOOKUP('SYNTHESE EXCEL'!$C14,'ETAPE 1'!$B$18:$C$25,2,FALSE),0))</f>
        <v>0.12</v>
      </c>
      <c r="F14" s="563" t="e">
        <f>IF(ISBLANK('ETAPE 2'!$B$4),0,IF($C14&lt;&gt;0,VLOOKUP('SYNTHESE EXCEL'!$C14,'ETAPE 2'!$B$18:$C$25,2,FALSE),0))</f>
        <v>#N/A</v>
      </c>
      <c r="G14" s="563" t="e">
        <f>IF(ISBLANK('ETAPE 3'!$B$4),0,IF($C14&lt;&gt;0,VLOOKUP('SYNTHESE EXCEL'!$C14,'ETAPE 3'!$B$18:$C$25,2,FALSE),0))</f>
        <v>#N/A</v>
      </c>
      <c r="H14" s="563">
        <f>IF(ISBLANK('ETAPE 4'!$B$4),0,IF($C14&lt;&gt;0,VLOOKUP('SYNTHESE EXCEL'!$C14,'ETAPE 4'!$B$18:$C$25,2,FALSE),0))</f>
        <v>0.11</v>
      </c>
      <c r="I14" s="563">
        <f>IF(ISBLANK('ETAPE 5'!$B$4),0,IF($C14&lt;&gt;0,VLOOKUP('SYNTHESE EXCEL'!$C14,'ETAPE 5'!$B$18:$C$25,2,FALSE),0))</f>
        <v>0</v>
      </c>
      <c r="J14" s="563">
        <f>IF(ISBLANK('ETAPE 6'!$B$4),0,IF($C14&lt;&gt;0,VLOOKUP('SYNTHESE EXCEL'!$C14,'ETAPE 6'!$B$18:$C$25,2,FALSE),0))</f>
        <v>0</v>
      </c>
      <c r="K14" s="564"/>
      <c r="L14" s="558">
        <f>E14</f>
        <v>0.12</v>
      </c>
    </row>
    <row r="15" spans="1:16" outlineLevel="1" x14ac:dyDescent="0.25">
      <c r="B15" s="561"/>
      <c r="C15" s="562" t="str">
        <f>GENERALITES!$B$23</f>
        <v>huile d'olive</v>
      </c>
      <c r="E15" s="563">
        <f>IF(ISBLANK('ETAPE 1'!$B$4),0,IF($C15&lt;&gt;0,VLOOKUP('SYNTHESE EXCEL'!$C15,'ETAPE 1'!$B$18:$C$25,2,FALSE),0))</f>
        <v>0.6</v>
      </c>
      <c r="F15" s="563" t="e">
        <f>IF(ISBLANK('ETAPE 2'!$B$4),0,IF($C15&lt;&gt;0,VLOOKUP('SYNTHESE EXCEL'!$C15,'ETAPE 2'!$B$18:$C$25,2,FALSE),0))</f>
        <v>#N/A</v>
      </c>
      <c r="G15" s="563" t="e">
        <f>IF(ISBLANK('ETAPE 3'!$B$4),0,IF($C15&lt;&gt;0,VLOOKUP('SYNTHESE EXCEL'!$C15,'ETAPE 3'!$B$18:$C$25,2,FALSE),0))</f>
        <v>#N/A</v>
      </c>
      <c r="H15" s="563">
        <f>IF(ISBLANK('ETAPE 4'!$B$4),0,IF($C15&lt;&gt;0,VLOOKUP('SYNTHESE EXCEL'!$C15,'ETAPE 4'!$B$18:$C$25,2,FALSE),0))</f>
        <v>0.5</v>
      </c>
      <c r="I15" s="563">
        <f>IF(ISBLANK('ETAPE 5'!$B$4),0,IF($C15&lt;&gt;0,VLOOKUP('SYNTHESE EXCEL'!$C15,'ETAPE 5'!$B$18:$C$25,2,FALSE),0))</f>
        <v>0</v>
      </c>
      <c r="J15" s="563">
        <f>IF(ISBLANK('ETAPE 6'!$B$4),0,IF($C15&lt;&gt;0,VLOOKUP('SYNTHESE EXCEL'!$C15,'ETAPE 6'!$B$18:$C$25,2,FALSE),0))</f>
        <v>0</v>
      </c>
      <c r="K15" s="564"/>
      <c r="L15" s="558">
        <f t="shared" ref="L15:L20" si="0">E15</f>
        <v>0.6</v>
      </c>
    </row>
    <row r="16" spans="1:16" outlineLevel="1" x14ac:dyDescent="0.25">
      <c r="B16" s="561"/>
      <c r="C16" s="562">
        <f>GENERALITES!$B$24</f>
        <v>0</v>
      </c>
      <c r="E16" s="563">
        <f>IF(ISBLANK('ETAPE 1'!$B$4),0,IF($C16&lt;&gt;0,VLOOKUP('SYNTHESE EXCEL'!$C16,'ETAPE 1'!$B$18:$C$25,2,FALSE),0))</f>
        <v>0</v>
      </c>
      <c r="F16" s="563">
        <f>IF(ISBLANK('ETAPE 2'!$B$4),0,IF($C16&lt;&gt;0,VLOOKUP('SYNTHESE EXCEL'!$C16,'ETAPE 2'!$B$18:$C$25,2,FALSE),0))</f>
        <v>0</v>
      </c>
      <c r="G16" s="563">
        <f>IF(ISBLANK('ETAPE 3'!$B$4),0,IF($C16&lt;&gt;0,VLOOKUP('SYNTHESE EXCEL'!$C16,'ETAPE 3'!$B$18:$C$25,2,FALSE),0))</f>
        <v>0</v>
      </c>
      <c r="H16" s="563">
        <f>IF(ISBLANK('ETAPE 4'!$B$4),0,IF($C16&lt;&gt;0,VLOOKUP('SYNTHESE EXCEL'!$C16,'ETAPE 4'!$B$18:$C$25,2,FALSE),0))</f>
        <v>0</v>
      </c>
      <c r="I16" s="563">
        <f>IF(ISBLANK('ETAPE 5'!$B$4),0,IF($C16&lt;&gt;0,VLOOKUP('SYNTHESE EXCEL'!$C16,'ETAPE 5'!$B$18:$C$25,2,FALSE),0))</f>
        <v>0</v>
      </c>
      <c r="J16" s="563">
        <f>IF(ISBLANK('ETAPE 6'!$B$4),0,IF($C16&lt;&gt;0,VLOOKUP('SYNTHESE EXCEL'!$C16,'ETAPE 6'!$B$18:$C$25,2,FALSE),0))</f>
        <v>0</v>
      </c>
      <c r="K16" s="564"/>
      <c r="L16" s="558">
        <f t="shared" si="0"/>
        <v>0</v>
      </c>
    </row>
    <row r="17" spans="2:21" outlineLevel="1" x14ac:dyDescent="0.25">
      <c r="B17" s="561"/>
      <c r="C17" s="562">
        <f>GENERALITES!$B$25</f>
        <v>0</v>
      </c>
      <c r="E17" s="563">
        <f>IF(ISBLANK('ETAPE 1'!$B$4),0,IF($C17&lt;&gt;0,VLOOKUP('SYNTHESE EXCEL'!$C17,'ETAPE 1'!$B$18:$C$25,2,FALSE),0))</f>
        <v>0</v>
      </c>
      <c r="F17" s="563">
        <f>IF(ISBLANK('ETAPE 2'!$B$4),0,IF($C17&lt;&gt;0,VLOOKUP('SYNTHESE EXCEL'!$C17,'ETAPE 2'!$B$18:$C$25,2,FALSE),0))</f>
        <v>0</v>
      </c>
      <c r="G17" s="563">
        <f>IF(ISBLANK('ETAPE 3'!$B$4),0,IF($C17&lt;&gt;0,VLOOKUP('SYNTHESE EXCEL'!$C17,'ETAPE 3'!$B$18:$C$25,2,FALSE),0))</f>
        <v>0</v>
      </c>
      <c r="H17" s="563">
        <f>IF(ISBLANK('ETAPE 4'!$B$4),0,IF($C17&lt;&gt;0,VLOOKUP('SYNTHESE EXCEL'!$C17,'ETAPE 4'!$B$18:$C$25,2,FALSE),0))</f>
        <v>0</v>
      </c>
      <c r="I17" s="563">
        <f>IF(ISBLANK('ETAPE 5'!$B$4),0,IF($C17&lt;&gt;0,VLOOKUP('SYNTHESE EXCEL'!$C17,'ETAPE 5'!$B$18:$C$25,2,FALSE),0))</f>
        <v>0</v>
      </c>
      <c r="J17" s="563">
        <f>IF(ISBLANK('ETAPE 6'!$B$4),0,IF($C17&lt;&gt;0,VLOOKUP('SYNTHESE EXCEL'!$C17,'ETAPE 6'!$B$18:$C$25,2,FALSE),0))</f>
        <v>0</v>
      </c>
      <c r="K17" s="564"/>
      <c r="L17" s="558">
        <f t="shared" si="0"/>
        <v>0</v>
      </c>
    </row>
    <row r="18" spans="2:21" outlineLevel="1" x14ac:dyDescent="0.25">
      <c r="B18" s="561"/>
      <c r="C18" s="562">
        <f>GENERALITES!$B$26</f>
        <v>0</v>
      </c>
      <c r="E18" s="563">
        <f>IF(ISBLANK('ETAPE 1'!$B$4),0,IF($C18&lt;&gt;0,VLOOKUP('SYNTHESE EXCEL'!$C18,'ETAPE 1'!$B$18:$C$25,2,FALSE),0))</f>
        <v>0</v>
      </c>
      <c r="F18" s="563">
        <f>IF(ISBLANK('ETAPE 2'!$B$4),0,IF($C18&lt;&gt;0,VLOOKUP('SYNTHESE EXCEL'!$C18,'ETAPE 2'!$B$18:$C$25,2,FALSE),0))</f>
        <v>0</v>
      </c>
      <c r="G18" s="563">
        <f>IF(ISBLANK('ETAPE 3'!$B$4),0,IF($C18&lt;&gt;0,VLOOKUP('SYNTHESE EXCEL'!$C18,'ETAPE 3'!$B$18:$C$25,2,FALSE),0))</f>
        <v>0</v>
      </c>
      <c r="H18" s="563">
        <f>IF(ISBLANK('ETAPE 4'!$B$4),0,IF($C18&lt;&gt;0,VLOOKUP('SYNTHESE EXCEL'!$C18,'ETAPE 4'!$B$18:$C$25,2,FALSE),0))</f>
        <v>0</v>
      </c>
      <c r="I18" s="563">
        <f>IF(ISBLANK('ETAPE 5'!$B$4),0,IF($C18&lt;&gt;0,VLOOKUP('SYNTHESE EXCEL'!$C18,'ETAPE 5'!$B$18:$C$25,2,FALSE),0))</f>
        <v>0</v>
      </c>
      <c r="J18" s="563">
        <f>IF(ISBLANK('ETAPE 6'!$B$4),0,IF($C18&lt;&gt;0,VLOOKUP('SYNTHESE EXCEL'!$C18,'ETAPE 6'!$B$18:$C$25,2,FALSE),0))</f>
        <v>0</v>
      </c>
      <c r="K18" s="564"/>
      <c r="L18" s="558">
        <f t="shared" si="0"/>
        <v>0</v>
      </c>
    </row>
    <row r="19" spans="2:21" outlineLevel="1" x14ac:dyDescent="0.25">
      <c r="B19" s="561"/>
      <c r="C19" s="562">
        <f>GENERALITES!$B$27</f>
        <v>0</v>
      </c>
      <c r="E19" s="563">
        <f>IF(ISBLANK('ETAPE 1'!$B$4),0,IF($C19&lt;&gt;0,VLOOKUP('SYNTHESE EXCEL'!$C19,'ETAPE 1'!$B$18:$C$25,2,FALSE),0))</f>
        <v>0</v>
      </c>
      <c r="F19" s="563">
        <f>IF(ISBLANK('ETAPE 2'!$B$4),0,IF($C19&lt;&gt;0,VLOOKUP('SYNTHESE EXCEL'!$C19,'ETAPE 2'!$B$18:$C$25,2,FALSE),0))</f>
        <v>0</v>
      </c>
      <c r="G19" s="563">
        <f>IF(ISBLANK('ETAPE 3'!$B$4),0,IF($C19&lt;&gt;0,VLOOKUP('SYNTHESE EXCEL'!$C19,'ETAPE 3'!$B$18:$C$25,2,FALSE),0))</f>
        <v>0</v>
      </c>
      <c r="H19" s="563">
        <f>IF(ISBLANK('ETAPE 4'!$B$4),0,IF($C19&lt;&gt;0,VLOOKUP('SYNTHESE EXCEL'!$C19,'ETAPE 4'!$B$18:$C$25,2,FALSE),0))</f>
        <v>0</v>
      </c>
      <c r="I19" s="563">
        <f>IF(ISBLANK('ETAPE 5'!$B$4),0,IF($C19&lt;&gt;0,VLOOKUP('SYNTHESE EXCEL'!$C19,'ETAPE 5'!$B$18:$C$25,2,FALSE),0))</f>
        <v>0</v>
      </c>
      <c r="J19" s="563">
        <f>IF(ISBLANK('ETAPE 6'!$B$4),0,IF($C19&lt;&gt;0,VLOOKUP('SYNTHESE EXCEL'!$C19,'ETAPE 6'!$B$18:$C$25,2,FALSE),0))</f>
        <v>0</v>
      </c>
      <c r="K19" s="564"/>
      <c r="L19" s="558">
        <f t="shared" si="0"/>
        <v>0</v>
      </c>
    </row>
    <row r="20" spans="2:21" outlineLevel="1" x14ac:dyDescent="0.25">
      <c r="B20" s="561"/>
      <c r="C20" s="562">
        <f>GENERALITES!$B$31</f>
        <v>0</v>
      </c>
      <c r="E20" s="563">
        <f>IF(ISBLANK('ETAPE 1'!$B$4),0,IF($C20&lt;&gt;0,VLOOKUP('SYNTHESE EXCEL'!$C20,'ETAPE 1'!$B$18:$C$25,2,FALSE),0))</f>
        <v>0</v>
      </c>
      <c r="F20" s="563">
        <f>IF(ISBLANK('ETAPE 2'!$B$4),0,IF($C20&lt;&gt;0,VLOOKUP('SYNTHESE EXCEL'!$C20,'ETAPE 2'!$B$18:$C$25,2,FALSE),0))</f>
        <v>0</v>
      </c>
      <c r="G20" s="563">
        <f>IF(ISBLANK('ETAPE 3'!$B$4),0,IF($C20&lt;&gt;0,VLOOKUP('SYNTHESE EXCEL'!$C20,'ETAPE 3'!$B$18:$C$25,2,FALSE),0))</f>
        <v>0</v>
      </c>
      <c r="H20" s="563">
        <f>IF(ISBLANK('ETAPE 4'!$B$4),0,IF($C20&lt;&gt;0,VLOOKUP('SYNTHESE EXCEL'!$C20,'ETAPE 4'!$B$18:$C$25,2,FALSE),0))</f>
        <v>0</v>
      </c>
      <c r="I20" s="563">
        <f>IF(ISBLANK('ETAPE 5'!$B$4),0,IF($C20&lt;&gt;0,VLOOKUP('SYNTHESE EXCEL'!$C20,'ETAPE 5'!$B$18:$C$25,2,FALSE),0))</f>
        <v>0</v>
      </c>
      <c r="J20" s="563">
        <f>IF(ISBLANK('ETAPE 6'!$B$4),0,IF($C20&lt;&gt;0,VLOOKUP('SYNTHESE EXCEL'!$C20,'ETAPE 6'!$B$18:$C$25,2,FALSE),0))</f>
        <v>0</v>
      </c>
      <c r="K20" s="564"/>
      <c r="L20" s="558">
        <f t="shared" si="0"/>
        <v>0</v>
      </c>
    </row>
    <row r="21" spans="2:21" ht="6.75" customHeight="1" thickBot="1" x14ac:dyDescent="0.3">
      <c r="E21" s="564"/>
      <c r="F21" s="564"/>
      <c r="G21" s="564"/>
      <c r="H21" s="564"/>
      <c r="I21" s="564"/>
      <c r="J21" s="564"/>
      <c r="K21" s="564"/>
      <c r="L21" s="565"/>
    </row>
    <row r="22" spans="2:21" x14ac:dyDescent="0.25">
      <c r="B22" s="555" t="s">
        <v>572</v>
      </c>
      <c r="C22" s="556"/>
      <c r="D22" s="557"/>
      <c r="E22" s="558">
        <f>IF(ISBLANK('ETAPE 1'!$B$4),0,'ETAPE 1'!$E$123)</f>
        <v>23.720000000000002</v>
      </c>
      <c r="F22" s="558">
        <f>IF(ISBLANK('ETAPE 2'!$B$4),0,'ETAPE 2'!$E$123)</f>
        <v>22.99</v>
      </c>
      <c r="G22" s="558">
        <f>IF(ISBLANK('ETAPE 3'!$B$4),0,'ETAPE 3'!$E$123)</f>
        <v>4.95</v>
      </c>
      <c r="H22" s="558">
        <f>IF(ISBLANK('ETAPE 4'!$B$4),0,'ETAPE 4'!$E$123)</f>
        <v>5.5600000000000005</v>
      </c>
      <c r="I22" s="558">
        <f>IF(ISBLANK('ETAPE 5'!$B$4),0,'ETAPE 5'!$E$123)</f>
        <v>0</v>
      </c>
      <c r="J22" s="558">
        <f>IF(ISBLANK('ETAPE 6'!$B$4),0,'ETAPE 6'!$E$123)</f>
        <v>0</v>
      </c>
      <c r="K22" s="559"/>
      <c r="L22" s="566">
        <v>6</v>
      </c>
      <c r="N22" s="567"/>
      <c r="O22" s="568" t="s">
        <v>769</v>
      </c>
      <c r="P22" s="569"/>
      <c r="Q22" s="570"/>
      <c r="S22" s="571"/>
      <c r="U22" s="571"/>
    </row>
    <row r="23" spans="2:21" outlineLevel="1" x14ac:dyDescent="0.25">
      <c r="B23" s="561" t="s">
        <v>588</v>
      </c>
      <c r="C23" s="562" t="str">
        <f>GENERALITES!$B$21</f>
        <v>tomates grappe</v>
      </c>
      <c r="E23" s="563">
        <f>IF(ISBLANK('ETAPE 1'!$B$4),0,IF($C23&lt;&gt;0,VLOOKUP('SYNTHESE EXCEL'!$C23,'ETAPE 1'!$B$18:$E$25,4,FALSE),0))</f>
        <v>23</v>
      </c>
      <c r="F23" s="563">
        <f>IF(ISBLANK('ETAPE 2'!$B$4),0,IF($C23&lt;&gt;0,VLOOKUP('SYNTHESE EXCEL'!$C23,'ETAPE 2'!$B$18:$E$25,4,FALSE),0))</f>
        <v>22.99</v>
      </c>
      <c r="G23" s="563">
        <f>IF(ISBLANK('ETAPE 3'!$B$4),0,IF($C23&lt;&gt;0,VLOOKUP('SYNTHESE EXCEL'!$C23,'ETAPE 3'!$B$18:$E$25,4,FALSE),0))</f>
        <v>4.95</v>
      </c>
      <c r="H23" s="563">
        <f>IF(ISBLANK('ETAPE 4'!$B$4),0,IF($C23&lt;&gt;0,VLOOKUP('SYNTHESE EXCEL'!$C23,'ETAPE 4'!$B$18:$E$25,4,FALSE),0))</f>
        <v>4.95</v>
      </c>
      <c r="I23" s="563">
        <f>IF(ISBLANK('ETAPE 5'!$B$4),0,IF($C23&lt;&gt;0,VLOOKUP('SYNTHESE EXCEL'!$C23,'ETAPE 5'!$B$18:$E$25,4,FALSE),0))</f>
        <v>0</v>
      </c>
      <c r="J23" s="563">
        <f>IF(ISBLANK('ETAPE 6'!$B$4),0,IF($C23&lt;&gt;0,VLOOKUP('SYNTHESE EXCEL'!$C23,'ETAPE 6'!$B$18:$E$25,4,FALSE),0))</f>
        <v>0</v>
      </c>
      <c r="K23" s="564"/>
      <c r="L23" s="566">
        <v>5.0599999999999996</v>
      </c>
      <c r="N23" s="567"/>
      <c r="O23" s="572"/>
      <c r="P23" s="573"/>
      <c r="Q23" s="574"/>
      <c r="U23" s="571"/>
    </row>
    <row r="24" spans="2:21" outlineLevel="1" x14ac:dyDescent="0.25">
      <c r="B24" s="561"/>
      <c r="C24" s="562" t="str">
        <f>GENERALITES!$B$22</f>
        <v>herbes de provence</v>
      </c>
      <c r="E24" s="563">
        <f>IF(ISBLANK('ETAPE 1'!$B$4),0,IF($C24&lt;&gt;0,VLOOKUP('SYNTHESE EXCEL'!$C24,'ETAPE 1'!$B$18:$E$25,4,FALSE),0))</f>
        <v>0.12</v>
      </c>
      <c r="F24" s="563" t="e">
        <f>IF(ISBLANK('ETAPE 2'!$B$4),0,IF($C24&lt;&gt;0,VLOOKUP('SYNTHESE EXCEL'!$C24,'ETAPE 2'!$B$18:$E$25,4,FALSE),0))</f>
        <v>#N/A</v>
      </c>
      <c r="G24" s="563" t="e">
        <f>IF(ISBLANK('ETAPE 3'!$B$4),0,IF($C24&lt;&gt;0,VLOOKUP('SYNTHESE EXCEL'!$C24,'ETAPE 3'!$B$18:$E$25,4,FALSE),0))</f>
        <v>#N/A</v>
      </c>
      <c r="H24" s="563">
        <f>IF(ISBLANK('ETAPE 4'!$B$4),0,IF($C24&lt;&gt;0,VLOOKUP('SYNTHESE EXCEL'!$C24,'ETAPE 4'!$B$18:$E$25,4,FALSE),0))</f>
        <v>0.11</v>
      </c>
      <c r="I24" s="563">
        <f>IF(ISBLANK('ETAPE 5'!$B$4),0,IF($C24&lt;&gt;0,VLOOKUP('SYNTHESE EXCEL'!$C24,'ETAPE 5'!$B$18:$E$25,4,FALSE),0))</f>
        <v>0</v>
      </c>
      <c r="J24" s="563">
        <f>IF(ISBLANK('ETAPE 6'!$B$4),0,IF($C24&lt;&gt;0,VLOOKUP('SYNTHESE EXCEL'!$C24,'ETAPE 6'!$B$18:$E$25,4,FALSE),0))</f>
        <v>0</v>
      </c>
      <c r="K24" s="564"/>
      <c r="L24" s="566">
        <v>0.12</v>
      </c>
      <c r="N24" s="567"/>
      <c r="O24" s="572"/>
      <c r="P24" s="573"/>
      <c r="Q24" s="574"/>
      <c r="S24" s="571"/>
      <c r="U24" s="571"/>
    </row>
    <row r="25" spans="2:21" outlineLevel="1" x14ac:dyDescent="0.25">
      <c r="B25" s="561"/>
      <c r="C25" s="562" t="str">
        <f>GENERALITES!$B$23</f>
        <v>huile d'olive</v>
      </c>
      <c r="E25" s="563">
        <f>IF(ISBLANK('ETAPE 1'!$B$4),0,IF($C25&lt;&gt;0,VLOOKUP('SYNTHESE EXCEL'!$C25,'ETAPE 1'!$B$18:$E$25,4,FALSE),0))</f>
        <v>0.6</v>
      </c>
      <c r="F25" s="563" t="e">
        <f>IF(ISBLANK('ETAPE 2'!$B$4),0,IF($C25&lt;&gt;0,VLOOKUP('SYNTHESE EXCEL'!$C25,'ETAPE 2'!$B$18:$E$25,4,FALSE),0))</f>
        <v>#N/A</v>
      </c>
      <c r="G25" s="563" t="e">
        <f>IF(ISBLANK('ETAPE 3'!$B$4),0,IF($C25&lt;&gt;0,VLOOKUP('SYNTHESE EXCEL'!$C25,'ETAPE 3'!$B$18:$E$25,4,FALSE),0))</f>
        <v>#N/A</v>
      </c>
      <c r="H25" s="563">
        <f>IF(ISBLANK('ETAPE 4'!$B$4),0,IF($C25&lt;&gt;0,VLOOKUP('SYNTHESE EXCEL'!$C25,'ETAPE 4'!$B$18:$E$25,4,FALSE),0))</f>
        <v>0.5</v>
      </c>
      <c r="I25" s="563">
        <f>IF(ISBLANK('ETAPE 5'!$B$4),0,IF($C25&lt;&gt;0,VLOOKUP('SYNTHESE EXCEL'!$C25,'ETAPE 5'!$B$18:$E$25,4,FALSE),0))</f>
        <v>0</v>
      </c>
      <c r="J25" s="563">
        <f>IF(ISBLANK('ETAPE 6'!$B$4),0,IF($C25&lt;&gt;0,VLOOKUP('SYNTHESE EXCEL'!$C25,'ETAPE 6'!$B$18:$E$25,4,FALSE),0))</f>
        <v>0</v>
      </c>
      <c r="K25" s="564"/>
      <c r="L25" s="566">
        <v>0.6</v>
      </c>
      <c r="N25" s="567"/>
      <c r="O25" s="572"/>
      <c r="P25" s="573"/>
      <c r="Q25" s="574"/>
      <c r="U25" s="571"/>
    </row>
    <row r="26" spans="2:21" outlineLevel="1" x14ac:dyDescent="0.25">
      <c r="B26" s="561"/>
      <c r="C26" s="562">
        <f>GENERALITES!$B$24</f>
        <v>0</v>
      </c>
      <c r="E26" s="563">
        <f>IF(ISBLANK('ETAPE 1'!$B$4),0,IF($C26&lt;&gt;0,VLOOKUP('SYNTHESE EXCEL'!$C26,'ETAPE 1'!$B$18:$E$25,4,FALSE),0))</f>
        <v>0</v>
      </c>
      <c r="F26" s="563">
        <f>IF(ISBLANK('ETAPE 2'!$B$4),0,IF($C26&lt;&gt;0,VLOOKUP('SYNTHESE EXCEL'!$C26,'ETAPE 2'!$B$18:$E$25,4,FALSE),0))</f>
        <v>0</v>
      </c>
      <c r="G26" s="563">
        <f>IF(ISBLANK('ETAPE 3'!$B$4),0,IF($C26&lt;&gt;0,VLOOKUP('SYNTHESE EXCEL'!$C26,'ETAPE 3'!$B$18:$E$25,4,FALSE),0))</f>
        <v>0</v>
      </c>
      <c r="H26" s="563">
        <f>IF(ISBLANK('ETAPE 4'!$B$4),0,IF($C26&lt;&gt;0,VLOOKUP('SYNTHESE EXCEL'!$C26,'ETAPE 4'!$B$18:$E$25,4,FALSE),0))</f>
        <v>0</v>
      </c>
      <c r="I26" s="563">
        <f>IF(ISBLANK('ETAPE 5'!$B$4),0,IF($C26&lt;&gt;0,VLOOKUP('SYNTHESE EXCEL'!$C26,'ETAPE 5'!$B$18:$E$25,4,FALSE),0))</f>
        <v>0</v>
      </c>
      <c r="J26" s="563">
        <f>IF(ISBLANK('ETAPE 6'!$B$4),0,IF($C26&lt;&gt;0,VLOOKUP('SYNTHESE EXCEL'!$C26,'ETAPE 6'!$B$18:$E$25,4,FALSE),0))</f>
        <v>0</v>
      </c>
      <c r="K26" s="564"/>
      <c r="L26" s="566"/>
      <c r="N26" s="567"/>
      <c r="O26" s="572"/>
      <c r="P26" s="573"/>
      <c r="Q26" s="574"/>
      <c r="U26" s="571"/>
    </row>
    <row r="27" spans="2:21" outlineLevel="1" x14ac:dyDescent="0.25">
      <c r="B27" s="561"/>
      <c r="C27" s="562">
        <f>GENERALITES!$B$25</f>
        <v>0</v>
      </c>
      <c r="E27" s="563">
        <f>IF(ISBLANK('ETAPE 1'!$B$4),0,IF($C27&lt;&gt;0,VLOOKUP('SYNTHESE EXCEL'!$C27,'ETAPE 1'!$B$18:$E$25,4,FALSE),0))</f>
        <v>0</v>
      </c>
      <c r="F27" s="563">
        <f>IF(ISBLANK('ETAPE 2'!$B$4),0,IF($C27&lt;&gt;0,VLOOKUP('SYNTHESE EXCEL'!$C27,'ETAPE 2'!$B$18:$E$25,4,FALSE),0))</f>
        <v>0</v>
      </c>
      <c r="G27" s="563">
        <f>IF(ISBLANK('ETAPE 3'!$B$4),0,IF($C27&lt;&gt;0,VLOOKUP('SYNTHESE EXCEL'!$C27,'ETAPE 3'!$B$18:$E$25,4,FALSE),0))</f>
        <v>0</v>
      </c>
      <c r="H27" s="563">
        <f>IF(ISBLANK('ETAPE 4'!$B$4),0,IF($C27&lt;&gt;0,VLOOKUP('SYNTHESE EXCEL'!$C27,'ETAPE 4'!$B$18:$E$25,4,FALSE),0))</f>
        <v>0</v>
      </c>
      <c r="I27" s="563">
        <f>IF(ISBLANK('ETAPE 5'!$B$4),0,IF($C27&lt;&gt;0,VLOOKUP('SYNTHESE EXCEL'!$C27,'ETAPE 5'!$B$18:$E$25,4,FALSE),0))</f>
        <v>0</v>
      </c>
      <c r="J27" s="563">
        <f>IF(ISBLANK('ETAPE 6'!$B$4),0,IF($C27&lt;&gt;0,VLOOKUP('SYNTHESE EXCEL'!$C27,'ETAPE 6'!$B$18:$E$25,4,FALSE),0))</f>
        <v>0</v>
      </c>
      <c r="K27" s="564"/>
      <c r="L27" s="566"/>
      <c r="N27" s="567"/>
      <c r="O27" s="572"/>
      <c r="P27" s="573"/>
      <c r="Q27" s="574"/>
      <c r="U27" s="571"/>
    </row>
    <row r="28" spans="2:21" outlineLevel="1" x14ac:dyDescent="0.25">
      <c r="B28" s="561"/>
      <c r="C28" s="562">
        <f>GENERALITES!$B$26</f>
        <v>0</v>
      </c>
      <c r="E28" s="563">
        <f>IF(ISBLANK('ETAPE 1'!$B$4),0,IF($C28&lt;&gt;0,VLOOKUP('SYNTHESE EXCEL'!$C28,'ETAPE 1'!$B$18:$E$25,4,FALSE),0))</f>
        <v>0</v>
      </c>
      <c r="F28" s="563">
        <f>IF(ISBLANK('ETAPE 2'!$B$4),0,IF($C28&lt;&gt;0,VLOOKUP('SYNTHESE EXCEL'!$C28,'ETAPE 2'!$B$18:$E$25,4,FALSE),0))</f>
        <v>0</v>
      </c>
      <c r="G28" s="563">
        <f>IF(ISBLANK('ETAPE 3'!$B$4),0,IF($C28&lt;&gt;0,VLOOKUP('SYNTHESE EXCEL'!$C28,'ETAPE 3'!$B$18:$E$25,4,FALSE),0))</f>
        <v>0</v>
      </c>
      <c r="H28" s="563">
        <f>IF(ISBLANK('ETAPE 4'!$B$4),0,IF($C28&lt;&gt;0,VLOOKUP('SYNTHESE EXCEL'!$C28,'ETAPE 4'!$B$18:$E$25,4,FALSE),0))</f>
        <v>0</v>
      </c>
      <c r="I28" s="563">
        <f>IF(ISBLANK('ETAPE 5'!$B$4),0,IF($C28&lt;&gt;0,VLOOKUP('SYNTHESE EXCEL'!$C28,'ETAPE 5'!$B$18:$E$25,4,FALSE),0))</f>
        <v>0</v>
      </c>
      <c r="J28" s="563">
        <f>IF(ISBLANK('ETAPE 6'!$B$4),0,IF($C28&lt;&gt;0,VLOOKUP('SYNTHESE EXCEL'!$C28,'ETAPE 6'!$B$18:$E$25,4,FALSE),0))</f>
        <v>0</v>
      </c>
      <c r="K28" s="564"/>
      <c r="L28" s="566"/>
      <c r="N28" s="567"/>
      <c r="O28" s="572"/>
      <c r="P28" s="573"/>
      <c r="Q28" s="574"/>
      <c r="U28" s="571"/>
    </row>
    <row r="29" spans="2:21" outlineLevel="1" x14ac:dyDescent="0.25">
      <c r="B29" s="561"/>
      <c r="C29" s="562">
        <f>GENERALITES!$B$27</f>
        <v>0</v>
      </c>
      <c r="E29" s="563">
        <f>IF(ISBLANK('ETAPE 1'!$B$4),0,IF($C29&lt;&gt;0,VLOOKUP('SYNTHESE EXCEL'!$C29,'ETAPE 1'!$B$18:$E$25,4,FALSE),0))</f>
        <v>0</v>
      </c>
      <c r="F29" s="563">
        <f>IF(ISBLANK('ETAPE 2'!$B$4),0,IF($C29&lt;&gt;0,VLOOKUP('SYNTHESE EXCEL'!$C29,'ETAPE 2'!$B$18:$E$25,4,FALSE),0))</f>
        <v>0</v>
      </c>
      <c r="G29" s="563">
        <f>IF(ISBLANK('ETAPE 3'!$B$4),0,IF($C29&lt;&gt;0,VLOOKUP('SYNTHESE EXCEL'!$C29,'ETAPE 3'!$B$18:$E$25,4,FALSE),0))</f>
        <v>0</v>
      </c>
      <c r="H29" s="563">
        <f>IF(ISBLANK('ETAPE 4'!$B$4),0,IF($C29&lt;&gt;0,VLOOKUP('SYNTHESE EXCEL'!$C29,'ETAPE 4'!$B$18:$E$25,4,FALSE),0))</f>
        <v>0</v>
      </c>
      <c r="I29" s="563">
        <f>IF(ISBLANK('ETAPE 5'!$B$4),0,IF($C29&lt;&gt;0,VLOOKUP('SYNTHESE EXCEL'!$C29,'ETAPE 5'!$B$18:$E$25,4,FALSE),0))</f>
        <v>0</v>
      </c>
      <c r="J29" s="563">
        <f>IF(ISBLANK('ETAPE 6'!$B$4),0,IF($C29&lt;&gt;0,VLOOKUP('SYNTHESE EXCEL'!$C29,'ETAPE 6'!$B$18:$E$25,4,FALSE),0))</f>
        <v>0</v>
      </c>
      <c r="K29" s="564"/>
      <c r="L29" s="566"/>
      <c r="N29" s="567"/>
      <c r="O29" s="572"/>
      <c r="P29" s="573"/>
      <c r="Q29" s="574"/>
      <c r="U29" s="571"/>
    </row>
    <row r="30" spans="2:21" ht="15.75" outlineLevel="1" thickBot="1" x14ac:dyDescent="0.3">
      <c r="B30" s="561"/>
      <c r="C30" s="562">
        <f>GENERALITES!$B$31</f>
        <v>0</v>
      </c>
      <c r="E30" s="563">
        <f>IF(ISBLANK('ETAPE 1'!$B$4),0,IF($C30&lt;&gt;0,VLOOKUP('SYNTHESE EXCEL'!$C30,'ETAPE 1'!$B$18:$E$25,4,FALSE),0))</f>
        <v>0</v>
      </c>
      <c r="F30" s="563">
        <f>IF(ISBLANK('ETAPE 2'!$B$4),0,IF($C30&lt;&gt;0,VLOOKUP('SYNTHESE EXCEL'!$C30,'ETAPE 2'!$B$18:$E$25,4,FALSE),0))</f>
        <v>0</v>
      </c>
      <c r="G30" s="563">
        <f>IF(ISBLANK('ETAPE 3'!$B$4),0,IF($C30&lt;&gt;0,VLOOKUP('SYNTHESE EXCEL'!$C30,'ETAPE 3'!$B$18:$E$25,4,FALSE),0))</f>
        <v>0</v>
      </c>
      <c r="H30" s="563">
        <f>IF(ISBLANK('ETAPE 4'!$B$4),0,IF($C30&lt;&gt;0,VLOOKUP('SYNTHESE EXCEL'!$C30,'ETAPE 4'!$B$18:$E$25,4,FALSE),0))</f>
        <v>0</v>
      </c>
      <c r="I30" s="563">
        <f>IF(ISBLANK('ETAPE 5'!$B$4),0,IF($C30&lt;&gt;0,VLOOKUP('SYNTHESE EXCEL'!$C30,'ETAPE 5'!$B$18:$E$25,4,FALSE),0))</f>
        <v>0</v>
      </c>
      <c r="J30" s="563">
        <f>IF(ISBLANK('ETAPE 6'!$B$4),0,IF($C30&lt;&gt;0,VLOOKUP('SYNTHESE EXCEL'!$C30,'ETAPE 6'!$B$18:$E$25,4,FALSE),0))</f>
        <v>0</v>
      </c>
      <c r="K30" s="564"/>
      <c r="L30" s="566"/>
      <c r="N30" s="567"/>
      <c r="O30" s="575"/>
      <c r="P30" s="576"/>
      <c r="Q30" s="577"/>
      <c r="U30" s="571"/>
    </row>
    <row r="31" spans="2:21" ht="6.75" customHeight="1" x14ac:dyDescent="0.25">
      <c r="E31" s="564"/>
      <c r="F31" s="564"/>
      <c r="G31" s="564"/>
      <c r="H31" s="564"/>
      <c r="I31" s="564"/>
      <c r="J31" s="564"/>
      <c r="K31" s="564"/>
      <c r="L31" s="565"/>
    </row>
    <row r="32" spans="2:21" x14ac:dyDescent="0.25">
      <c r="B32" s="555" t="s">
        <v>573</v>
      </c>
      <c r="C32" s="556"/>
      <c r="D32" s="557"/>
      <c r="E32" s="558">
        <f>IF(ISBLANK('ETAPE 1'!$B$4),0,'ETAPE 1'!$I$10)</f>
        <v>23.6</v>
      </c>
      <c r="F32" s="558">
        <f>IF(ISBLANK('ETAPE 2'!$B$4),0,'ETAPE 2'!$I$10)</f>
        <v>22.5</v>
      </c>
      <c r="G32" s="558">
        <f>IF(ISBLANK('ETAPE 3'!$B$4),0,'ETAPE 3'!$I$10)</f>
        <v>4.95</v>
      </c>
      <c r="H32" s="558">
        <f>IF(ISBLANK('ETAPE 4'!$B$4),0,'ETAPE 4'!$I$10)</f>
        <v>4.9995000000000003</v>
      </c>
      <c r="I32" s="558">
        <f>IF(ISBLANK('ETAPE 5'!$B$4),0,'ETAPE 5'!$I$10)</f>
        <v>0</v>
      </c>
      <c r="J32" s="558">
        <f>IF(ISBLANK('ETAPE 6'!$B$4),0,'ETAPE 6'!$I$10)</f>
        <v>0</v>
      </c>
      <c r="K32" s="559"/>
      <c r="L32" s="558">
        <f>HLOOKUP($C$6,$E$8:$J$32,25,FALSE)</f>
        <v>4.9995000000000003</v>
      </c>
    </row>
    <row r="33" spans="2:18" outlineLevel="1" x14ac:dyDescent="0.25">
      <c r="B33" s="561" t="s">
        <v>589</v>
      </c>
      <c r="C33" s="562" t="str">
        <f>GENERALITES!$B$21</f>
        <v>tomates grappe</v>
      </c>
      <c r="E33" s="563">
        <f>IF(ISBLANK('ETAPE 1'!$B$4),0,IF($C33&lt;&gt;0,VLOOKUP('SYNTHESE EXCEL'!$C33,'ETAPE 1'!$B$18:$E$25,4,FALSE)-VLOOKUP('SYNTHESE EXCEL'!$C33,'ETAPE 1'!$B$18:$G$25,6,FALSE),0))</f>
        <v>22.99</v>
      </c>
      <c r="F33" s="563">
        <f>IF(ISBLANK('ETAPE 2'!$B$4),0,IF($C33&lt;&gt;0,VLOOKUP('SYNTHESE EXCEL'!$C33,'ETAPE 2'!$B$18:$E$25,4,FALSE)-VLOOKUP('SYNTHESE EXCEL'!$C33,'ETAPE 2'!$B$18:$G$25,6,FALSE),0))</f>
        <v>22.5</v>
      </c>
      <c r="G33" s="563">
        <f>IF(ISBLANK('ETAPE 3'!$B$4),0,IF($C33&lt;&gt;0,VLOOKUP('SYNTHESE EXCEL'!$C33,'ETAPE 3'!$B$18:$E$25,4,FALSE)-VLOOKUP('SYNTHESE EXCEL'!$C33,'ETAPE 3'!$B$18:$G$25,6,FALSE),0))</f>
        <v>4.95</v>
      </c>
      <c r="H33" s="563">
        <f>IF(ISBLANK('ETAPE 4'!$B$4),0,IF($C33&lt;&gt;0,VLOOKUP('SYNTHESE EXCEL'!$C33,'ETAPE 4'!$B$18:$E$25,4,FALSE)-VLOOKUP('SYNTHESE EXCEL'!$C33,'ETAPE 4'!$B$18:$G$25,6,FALSE),0))</f>
        <v>4.6500000000000004</v>
      </c>
      <c r="I33" s="563">
        <f>IF(ISBLANK('ETAPE 5'!$B$4),0,IF($C33&lt;&gt;0,VLOOKUP('SYNTHESE EXCEL'!$C33,'ETAPE 5'!$B$18:$E$25,4,FALSE)-VLOOKUP('SYNTHESE EXCEL'!$C33,'ETAPE 5'!$B$18:$G$25,6,FALSE),0))</f>
        <v>0</v>
      </c>
      <c r="J33" s="563">
        <f>IF(ISBLANK('ETAPE 6'!$B$4),0,IF($C33&lt;&gt;0,VLOOKUP('SYNTHESE EXCEL'!$C33,'ETAPE 6'!$B$18:$E$25,4,FALSE)-VLOOKUP('SYNTHESE EXCEL'!$C33,'ETAPE 6'!$B$18:$G$25,6,FALSE),0))</f>
        <v>0</v>
      </c>
      <c r="K33" s="564"/>
      <c r="L33" s="558">
        <f>HLOOKUP($C$6,$E$8:$J$33,26,FALSE)</f>
        <v>4.6500000000000004</v>
      </c>
    </row>
    <row r="34" spans="2:18" outlineLevel="1" x14ac:dyDescent="0.25">
      <c r="B34" s="561"/>
      <c r="C34" s="562" t="str">
        <f>GENERALITES!$B$22</f>
        <v>herbes de provence</v>
      </c>
      <c r="E34" s="563">
        <f>IF(ISBLANK('ETAPE 1'!$B$4),0,IF($C34&lt;&gt;0,VLOOKUP('SYNTHESE EXCEL'!$C34,'ETAPE 1'!$B$18:$E$25,4,FALSE)-VLOOKUP('SYNTHESE EXCEL'!$C34,'ETAPE 1'!$B$18:$G$25,6,FALSE),0))</f>
        <v>0.11</v>
      </c>
      <c r="F34" s="563" t="e">
        <f>IF(ISBLANK('ETAPE 2'!$B$4),0,IF($C34&lt;&gt;0,VLOOKUP('SYNTHESE EXCEL'!$C34,'ETAPE 2'!$B$18:$E$25,4,FALSE)-VLOOKUP('SYNTHESE EXCEL'!$C34,'ETAPE 2'!$B$18:$G$25,6,FALSE),0))</f>
        <v>#N/A</v>
      </c>
      <c r="G34" s="563" t="e">
        <f>IF(ISBLANK('ETAPE 3'!$B$4),0,IF($C34&lt;&gt;0,VLOOKUP('SYNTHESE EXCEL'!$C34,'ETAPE 3'!$B$18:$E$25,4,FALSE)-VLOOKUP('SYNTHESE EXCEL'!$C34,'ETAPE 3'!$B$18:$G$25,6,FALSE),0))</f>
        <v>#N/A</v>
      </c>
      <c r="H34" s="563">
        <f>IF(ISBLANK('ETAPE 4'!$B$4),0,IF($C34&lt;&gt;0,VLOOKUP('SYNTHESE EXCEL'!$C34,'ETAPE 4'!$B$18:$E$25,4,FALSE)-VLOOKUP('SYNTHESE EXCEL'!$C34,'ETAPE 4'!$B$18:$G$25,6,FALSE),0))</f>
        <v>0.1095</v>
      </c>
      <c r="I34" s="563">
        <f>IF(ISBLANK('ETAPE 5'!$B$4),0,IF($C34&lt;&gt;0,VLOOKUP('SYNTHESE EXCEL'!$C34,'ETAPE 5'!$B$18:$E$25,4,FALSE)-VLOOKUP('SYNTHESE EXCEL'!$C34,'ETAPE 5'!$B$18:$G$25,6,FALSE),0))</f>
        <v>0</v>
      </c>
      <c r="J34" s="563">
        <f>IF(ISBLANK('ETAPE 6'!$B$4),0,IF($C34&lt;&gt;0,VLOOKUP('SYNTHESE EXCEL'!$C34,'ETAPE 6'!$B$18:$E$25,4,FALSE)-VLOOKUP('SYNTHESE EXCEL'!$C34,'ETAPE 6'!$B$18:$G$25,6,FALSE),0))</f>
        <v>0</v>
      </c>
      <c r="K34" s="564"/>
      <c r="L34" s="558">
        <f>HLOOKUP($C$6,$E$8:$J$34,27,FALSE)</f>
        <v>0.1095</v>
      </c>
    </row>
    <row r="35" spans="2:18" outlineLevel="1" x14ac:dyDescent="0.25">
      <c r="B35" s="561"/>
      <c r="C35" s="562" t="str">
        <f>GENERALITES!$B$23</f>
        <v>huile d'olive</v>
      </c>
      <c r="E35" s="563">
        <f>IF(ISBLANK('ETAPE 1'!$B$4),0,IF($C35&lt;&gt;0,VLOOKUP('SYNTHESE EXCEL'!$C35,'ETAPE 1'!$B$18:$E$25,4,FALSE)-VLOOKUP('SYNTHESE EXCEL'!$C35,'ETAPE 1'!$B$18:$G$25,6,FALSE),0))</f>
        <v>0.5</v>
      </c>
      <c r="F35" s="563" t="e">
        <f>IF(ISBLANK('ETAPE 2'!$B$4),0,IF($C35&lt;&gt;0,VLOOKUP('SYNTHESE EXCEL'!$C35,'ETAPE 2'!$B$18:$E$25,4,FALSE)-VLOOKUP('SYNTHESE EXCEL'!$C35,'ETAPE 2'!$B$18:$G$25,6,FALSE),0))</f>
        <v>#N/A</v>
      </c>
      <c r="G35" s="563" t="e">
        <f>IF(ISBLANK('ETAPE 3'!$B$4),0,IF($C35&lt;&gt;0,VLOOKUP('SYNTHESE EXCEL'!$C35,'ETAPE 3'!$B$18:$E$25,4,FALSE)-VLOOKUP('SYNTHESE EXCEL'!$C35,'ETAPE 3'!$B$18:$G$25,6,FALSE),0))</f>
        <v>#N/A</v>
      </c>
      <c r="H35" s="563">
        <f>IF(ISBLANK('ETAPE 4'!$B$4),0,IF($C35&lt;&gt;0,VLOOKUP('SYNTHESE EXCEL'!$C35,'ETAPE 4'!$B$18:$E$25,4,FALSE)-VLOOKUP('SYNTHESE EXCEL'!$C35,'ETAPE 4'!$B$18:$G$25,6,FALSE),0))</f>
        <v>0.24</v>
      </c>
      <c r="I35" s="563">
        <f>IF(ISBLANK('ETAPE 5'!$B$4),0,IF($C35&lt;&gt;0,VLOOKUP('SYNTHESE EXCEL'!$C35,'ETAPE 5'!$B$18:$E$25,4,FALSE)-VLOOKUP('SYNTHESE EXCEL'!$C35,'ETAPE 5'!$B$18:$G$25,6,FALSE),0))</f>
        <v>0</v>
      </c>
      <c r="J35" s="563">
        <f>IF(ISBLANK('ETAPE 6'!$B$4),0,IF($C35&lt;&gt;0,VLOOKUP('SYNTHESE EXCEL'!$C35,'ETAPE 6'!$B$18:$E$25,4,FALSE)-VLOOKUP('SYNTHESE EXCEL'!$C35,'ETAPE 6'!$B$18:$G$25,6,FALSE),0))</f>
        <v>0</v>
      </c>
      <c r="K35" s="564"/>
      <c r="L35" s="558">
        <f>HLOOKUP($C$6,$E$8:$K$35,28,FALSE)</f>
        <v>0.24</v>
      </c>
    </row>
    <row r="36" spans="2:18" outlineLevel="1" x14ac:dyDescent="0.25">
      <c r="B36" s="561"/>
      <c r="C36" s="562">
        <f>GENERALITES!$B$24</f>
        <v>0</v>
      </c>
      <c r="E36" s="563">
        <f>IF(ISBLANK('ETAPE 1'!$B$4),0,IF($C36&lt;&gt;0,VLOOKUP('SYNTHESE EXCEL'!$C36,'ETAPE 1'!$B$18:$E$25,4,FALSE)-VLOOKUP('SYNTHESE EXCEL'!$C36,'ETAPE 1'!$B$18:$G$25,6,FALSE),0))</f>
        <v>0</v>
      </c>
      <c r="F36" s="563">
        <f>IF(ISBLANK('ETAPE 2'!$B$4),0,IF($C36&lt;&gt;0,VLOOKUP('SYNTHESE EXCEL'!$C36,'ETAPE 2'!$B$18:$E$25,4,FALSE)-VLOOKUP('SYNTHESE EXCEL'!$C36,'ETAPE 2'!$B$18:$G$25,6,FALSE),0))</f>
        <v>0</v>
      </c>
      <c r="G36" s="563">
        <f>IF(ISBLANK('ETAPE 3'!$B$4),0,IF($C36&lt;&gt;0,VLOOKUP('SYNTHESE EXCEL'!$C36,'ETAPE 3'!$B$18:$E$25,4,FALSE)-VLOOKUP('SYNTHESE EXCEL'!$C36,'ETAPE 3'!$B$18:$G$25,6,FALSE),0))</f>
        <v>0</v>
      </c>
      <c r="H36" s="563">
        <f>IF(ISBLANK('ETAPE 4'!$B$4),0,IF($C36&lt;&gt;0,VLOOKUP('SYNTHESE EXCEL'!$C36,'ETAPE 4'!$B$18:$E$25,4,FALSE)-VLOOKUP('SYNTHESE EXCEL'!$C36,'ETAPE 4'!$B$18:$G$25,6,FALSE),0))</f>
        <v>0</v>
      </c>
      <c r="I36" s="563">
        <f>IF(ISBLANK('ETAPE 5'!$B$4),0,IF($C36&lt;&gt;0,VLOOKUP('SYNTHESE EXCEL'!$C36,'ETAPE 5'!$B$18:$E$25,4,FALSE)-VLOOKUP('SYNTHESE EXCEL'!$C36,'ETAPE 5'!$B$18:$G$25,6,FALSE),0))</f>
        <v>0</v>
      </c>
      <c r="J36" s="563">
        <f>IF(ISBLANK('ETAPE 6'!$B$4),0,IF($C36&lt;&gt;0,VLOOKUP('SYNTHESE EXCEL'!$C36,'ETAPE 6'!$B$18:$E$25,4,FALSE)-VLOOKUP('SYNTHESE EXCEL'!$C36,'ETAPE 6'!$B$18:$G$25,6,FALSE),0))</f>
        <v>0</v>
      </c>
      <c r="K36" s="564"/>
      <c r="L36" s="558">
        <f>HLOOKUP($C$6,$E$8:$J$36,29,FALSE)</f>
        <v>0</v>
      </c>
    </row>
    <row r="37" spans="2:18" outlineLevel="1" x14ac:dyDescent="0.25">
      <c r="B37" s="561"/>
      <c r="C37" s="562">
        <f>GENERALITES!$B$25</f>
        <v>0</v>
      </c>
      <c r="E37" s="563">
        <f>IF(ISBLANK('ETAPE 1'!$B$4),0,IF($C37&lt;&gt;0,VLOOKUP('SYNTHESE EXCEL'!$C37,'ETAPE 1'!$B$18:$E$25,4,FALSE)-VLOOKUP('SYNTHESE EXCEL'!$C37,'ETAPE 1'!$B$18:$G$25,6,FALSE),0))</f>
        <v>0</v>
      </c>
      <c r="F37" s="563">
        <f>IF(ISBLANK('ETAPE 2'!$B$4),0,IF($C37&lt;&gt;0,VLOOKUP('SYNTHESE EXCEL'!$C37,'ETAPE 2'!$B$18:$E$25,4,FALSE)-VLOOKUP('SYNTHESE EXCEL'!$C37,'ETAPE 2'!$B$18:$G$25,6,FALSE),0))</f>
        <v>0</v>
      </c>
      <c r="G37" s="563">
        <f>IF(ISBLANK('ETAPE 3'!$B$4),0,IF($C37&lt;&gt;0,VLOOKUP('SYNTHESE EXCEL'!$C37,'ETAPE 3'!$B$18:$E$25,4,FALSE)-VLOOKUP('SYNTHESE EXCEL'!$C37,'ETAPE 3'!$B$18:$G$25,6,FALSE),0))</f>
        <v>0</v>
      </c>
      <c r="H37" s="563">
        <f>IF(ISBLANK('ETAPE 4'!$B$4),0,IF($C37&lt;&gt;0,VLOOKUP('SYNTHESE EXCEL'!$C37,'ETAPE 4'!$B$18:$E$25,4,FALSE)-VLOOKUP('SYNTHESE EXCEL'!$C37,'ETAPE 4'!$B$18:$G$25,6,FALSE),0))</f>
        <v>0</v>
      </c>
      <c r="I37" s="563">
        <f>IF(ISBLANK('ETAPE 5'!$B$4),0,IF($C37&lt;&gt;0,VLOOKUP('SYNTHESE EXCEL'!$C37,'ETAPE 5'!$B$18:$E$25,4,FALSE)-VLOOKUP('SYNTHESE EXCEL'!$C37,'ETAPE 5'!$B$18:$G$25,6,FALSE),0))</f>
        <v>0</v>
      </c>
      <c r="J37" s="563">
        <f>IF(ISBLANK('ETAPE 6'!$B$4),0,IF($C37&lt;&gt;0,VLOOKUP('SYNTHESE EXCEL'!$C37,'ETAPE 6'!$B$18:$E$25,4,FALSE)-VLOOKUP('SYNTHESE EXCEL'!$C37,'ETAPE 6'!$B$18:$G$25,6,FALSE),0))</f>
        <v>0</v>
      </c>
      <c r="K37" s="564"/>
      <c r="L37" s="558">
        <f>HLOOKUP($C$6,$E$8:$K$37,30,FALSE)</f>
        <v>0</v>
      </c>
    </row>
    <row r="38" spans="2:18" outlineLevel="1" x14ac:dyDescent="0.25">
      <c r="B38" s="561"/>
      <c r="C38" s="562">
        <f>GENERALITES!$B$26</f>
        <v>0</v>
      </c>
      <c r="E38" s="563">
        <f>IF(ISBLANK('ETAPE 1'!$B$4),0,IF($C38&lt;&gt;0,VLOOKUP('SYNTHESE EXCEL'!$C38,'ETAPE 1'!$B$18:$E$25,4,FALSE)-VLOOKUP('SYNTHESE EXCEL'!$C38,'ETAPE 1'!$B$18:$G$25,6,FALSE),0))</f>
        <v>0</v>
      </c>
      <c r="F38" s="563">
        <f>IF(ISBLANK('ETAPE 2'!$B$4),0,IF($C38&lt;&gt;0,VLOOKUP('SYNTHESE EXCEL'!$C38,'ETAPE 2'!$B$18:$E$25,4,FALSE)-VLOOKUP('SYNTHESE EXCEL'!$C38,'ETAPE 2'!$B$18:$G$25,6,FALSE),0))</f>
        <v>0</v>
      </c>
      <c r="G38" s="563">
        <f>IF(ISBLANK('ETAPE 3'!$B$4),0,IF($C38&lt;&gt;0,VLOOKUP('SYNTHESE EXCEL'!$C38,'ETAPE 3'!$B$18:$E$25,4,FALSE)-VLOOKUP('SYNTHESE EXCEL'!$C38,'ETAPE 3'!$B$18:$G$25,6,FALSE),0))</f>
        <v>0</v>
      </c>
      <c r="H38" s="563">
        <f>IF(ISBLANK('ETAPE 4'!$B$4),0,IF($C38&lt;&gt;0,VLOOKUP('SYNTHESE EXCEL'!$C38,'ETAPE 4'!$B$18:$E$25,4,FALSE)-VLOOKUP('SYNTHESE EXCEL'!$C38,'ETAPE 4'!$B$18:$G$25,6,FALSE),0))</f>
        <v>0</v>
      </c>
      <c r="I38" s="563">
        <f>IF(ISBLANK('ETAPE 5'!$B$4),0,IF($C38&lt;&gt;0,VLOOKUP('SYNTHESE EXCEL'!$C38,'ETAPE 5'!$B$18:$E$25,4,FALSE)-VLOOKUP('SYNTHESE EXCEL'!$C38,'ETAPE 5'!$B$18:$G$25,6,FALSE),0))</f>
        <v>0</v>
      </c>
      <c r="J38" s="563">
        <f>IF(ISBLANK('ETAPE 6'!$B$4),0,IF($C38&lt;&gt;0,VLOOKUP('SYNTHESE EXCEL'!$C38,'ETAPE 6'!$B$18:$E$25,4,FALSE)-VLOOKUP('SYNTHESE EXCEL'!$C38,'ETAPE 6'!$B$18:$G$25,6,FALSE),0))</f>
        <v>0</v>
      </c>
      <c r="K38" s="564"/>
      <c r="L38" s="558">
        <f>HLOOKUP($C$6,$E$8:$J$38,31,FALSE)</f>
        <v>0</v>
      </c>
    </row>
    <row r="39" spans="2:18" outlineLevel="1" x14ac:dyDescent="0.25">
      <c r="B39" s="561"/>
      <c r="C39" s="562">
        <f>GENERALITES!$B$27</f>
        <v>0</v>
      </c>
      <c r="E39" s="563">
        <f>IF(ISBLANK('ETAPE 1'!$B$4),0,IF($C39&lt;&gt;0,VLOOKUP('SYNTHESE EXCEL'!$C39,'ETAPE 1'!$B$18:$E$25,4,FALSE)-VLOOKUP('SYNTHESE EXCEL'!$C39,'ETAPE 1'!$B$18:$G$25,6,FALSE),0))</f>
        <v>0</v>
      </c>
      <c r="F39" s="563">
        <f>IF(ISBLANK('ETAPE 2'!$B$4),0,IF($C39&lt;&gt;0,VLOOKUP('SYNTHESE EXCEL'!$C39,'ETAPE 2'!$B$18:$E$25,4,FALSE)-VLOOKUP('SYNTHESE EXCEL'!$C39,'ETAPE 2'!$B$18:$G$25,6,FALSE),0))</f>
        <v>0</v>
      </c>
      <c r="G39" s="563">
        <f>IF(ISBLANK('ETAPE 3'!$B$4),0,IF($C39&lt;&gt;0,VLOOKUP('SYNTHESE EXCEL'!$C39,'ETAPE 3'!$B$18:$E$25,4,FALSE)-VLOOKUP('SYNTHESE EXCEL'!$C39,'ETAPE 3'!$B$18:$G$25,6,FALSE),0))</f>
        <v>0</v>
      </c>
      <c r="H39" s="563">
        <f>IF(ISBLANK('ETAPE 4'!$B$4),0,IF($C39&lt;&gt;0,VLOOKUP('SYNTHESE EXCEL'!$C39,'ETAPE 4'!$B$18:$E$25,4,FALSE)-VLOOKUP('SYNTHESE EXCEL'!$C39,'ETAPE 4'!$B$18:$G$25,6,FALSE),0))</f>
        <v>0</v>
      </c>
      <c r="I39" s="563">
        <f>IF(ISBLANK('ETAPE 5'!$B$4),0,IF($C39&lt;&gt;0,VLOOKUP('SYNTHESE EXCEL'!$C39,'ETAPE 5'!$B$18:$E$25,4,FALSE)-VLOOKUP('SYNTHESE EXCEL'!$C39,'ETAPE 5'!$B$18:$G$25,6,FALSE),0))</f>
        <v>0</v>
      </c>
      <c r="J39" s="563">
        <f>IF(ISBLANK('ETAPE 6'!$B$4),0,IF($C39&lt;&gt;0,VLOOKUP('SYNTHESE EXCEL'!$C39,'ETAPE 6'!$B$18:$E$25,4,FALSE)-VLOOKUP('SYNTHESE EXCEL'!$C39,'ETAPE 6'!$B$18:$G$25,6,FALSE),0))</f>
        <v>0</v>
      </c>
      <c r="K39" s="564"/>
      <c r="L39" s="558">
        <f>HLOOKUP($C$6,$E$8:$J$39,32,FALSE)</f>
        <v>0</v>
      </c>
    </row>
    <row r="40" spans="2:18" outlineLevel="1" x14ac:dyDescent="0.25">
      <c r="B40" s="561"/>
      <c r="C40" s="562">
        <f>GENERALITES!$B$31</f>
        <v>0</v>
      </c>
      <c r="E40" s="563">
        <f>IF(ISBLANK('ETAPE 1'!$B$4),0,IF($C40&lt;&gt;0,VLOOKUP('SYNTHESE EXCEL'!$C40,'ETAPE 1'!$B$18:$E$25,4,FALSE)-VLOOKUP('SYNTHESE EXCEL'!$C40,'ETAPE 1'!$B$18:$G$25,6,FALSE),0))</f>
        <v>0</v>
      </c>
      <c r="F40" s="563">
        <f>IF(ISBLANK('ETAPE 2'!$B$4),0,IF($C40&lt;&gt;0,VLOOKUP('SYNTHESE EXCEL'!$C40,'ETAPE 2'!$B$18:$E$25,4,FALSE)-VLOOKUP('SYNTHESE EXCEL'!$C40,'ETAPE 2'!$B$18:$G$25,6,FALSE),0))</f>
        <v>0</v>
      </c>
      <c r="G40" s="563">
        <f>IF(ISBLANK('ETAPE 3'!$B$4),0,IF($C40&lt;&gt;0,VLOOKUP('SYNTHESE EXCEL'!$C40,'ETAPE 3'!$B$18:$E$25,4,FALSE)-VLOOKUP('SYNTHESE EXCEL'!$C40,'ETAPE 3'!$B$18:$G$25,6,FALSE),0))</f>
        <v>0</v>
      </c>
      <c r="H40" s="563">
        <f>IF(ISBLANK('ETAPE 4'!$B$4),0,IF($C40&lt;&gt;0,VLOOKUP('SYNTHESE EXCEL'!$C40,'ETAPE 4'!$B$18:$E$25,4,FALSE)-VLOOKUP('SYNTHESE EXCEL'!$C40,'ETAPE 4'!$B$18:$G$25,6,FALSE),0))</f>
        <v>0</v>
      </c>
      <c r="I40" s="563">
        <f>IF(ISBLANK('ETAPE 5'!$B$4),0,IF($C40&lt;&gt;0,VLOOKUP('SYNTHESE EXCEL'!$C40,'ETAPE 5'!$B$18:$E$25,4,FALSE)-VLOOKUP('SYNTHESE EXCEL'!$C40,'ETAPE 5'!$B$18:$G$25,6,FALSE),0))</f>
        <v>0</v>
      </c>
      <c r="J40" s="563">
        <f>IF(ISBLANK('ETAPE 6'!$B$4),0,IF($C40&lt;&gt;0,VLOOKUP('SYNTHESE EXCEL'!$C40,'ETAPE 6'!$B$18:$E$25,4,FALSE)-VLOOKUP('SYNTHESE EXCEL'!$C40,'ETAPE 6'!$B$18:$G$25,6,FALSE),0))</f>
        <v>0</v>
      </c>
      <c r="K40" s="564"/>
      <c r="L40" s="558">
        <f>HLOOKUP($C$6,$E$8:$J$40,33,FALSE)</f>
        <v>0</v>
      </c>
    </row>
    <row r="41" spans="2:18" ht="6.75" customHeight="1" x14ac:dyDescent="0.25">
      <c r="E41" s="578"/>
      <c r="F41" s="578"/>
      <c r="G41" s="578"/>
      <c r="H41" s="578"/>
      <c r="I41" s="578"/>
      <c r="J41" s="578"/>
      <c r="K41" s="578"/>
    </row>
    <row r="42" spans="2:18" x14ac:dyDescent="0.25">
      <c r="B42" s="579" t="s">
        <v>574</v>
      </c>
      <c r="C42" s="579"/>
      <c r="E42" s="580">
        <f>IF(ISBLANK('ETAPE 1'!$B$4),0,'ETAPE 1'!$I$123)</f>
        <v>0.1198</v>
      </c>
      <c r="F42" s="580">
        <f>IF(ISBLANK('ETAPE 2'!$B$4),0,'ETAPE 2'!$I$123)</f>
        <v>0.48</v>
      </c>
      <c r="G42" s="580">
        <f>IF(ISBLANK('ETAPE 3'!$B$4),0,'ETAPE 3'!$I$123)</f>
        <v>0</v>
      </c>
      <c r="H42" s="580">
        <f>IF(ISBLANK('ETAPE 4'!$B$4),0,'ETAPE 4'!$I$123)</f>
        <v>0.5605</v>
      </c>
      <c r="I42" s="580">
        <f>IF(ISBLANK('ETAPE 5'!$B$4),0,'ETAPE 5'!$I$123)</f>
        <v>0</v>
      </c>
      <c r="J42" s="580">
        <f>IF(ISBLANK('ETAPE 6'!$B$4),0,'ETAPE 6'!$I$123)</f>
        <v>0</v>
      </c>
      <c r="K42" s="578"/>
      <c r="L42" s="580">
        <f>SUM(E42:J42)</f>
        <v>1.1602999999999999</v>
      </c>
    </row>
    <row r="43" spans="2:18" outlineLevel="1" x14ac:dyDescent="0.25">
      <c r="B43" s="561" t="s">
        <v>575</v>
      </c>
      <c r="C43" s="562" t="str">
        <f>GENERALITES!B21</f>
        <v>tomates grappe</v>
      </c>
      <c r="E43" s="580">
        <f>IF(ISBLANK('ETAPE 1'!$B$4),0,IF($C43&lt;&gt;0,VLOOKUP('SYNTHESE EXCEL'!$C43,'ETAPE 1'!$B$18:$I$25,8,FALSE),0))</f>
        <v>9.7999999999999997E-3</v>
      </c>
      <c r="F43" s="580">
        <f>IF(ISBLANK('ETAPE 2'!$B$4),0,IF($C43&lt;&gt;0,VLOOKUP('SYNTHESE EXCEL'!$C43,'ETAPE 2'!$B$18:$I$25,8,FALSE),0))</f>
        <v>0.48</v>
      </c>
      <c r="G43" s="580">
        <f>IF(ISBLANK('ETAPE 3'!$B$4),0,IF($C43&lt;&gt;0,VLOOKUP('SYNTHESE EXCEL'!$C43,'ETAPE 3'!$B$18:$I$25,8,FALSE),0))</f>
        <v>0</v>
      </c>
      <c r="H43" s="580">
        <f>IF(ISBLANK('ETAPE 4'!$B$4),0,IF($C43&lt;&gt;0,VLOOKUP('SYNTHESE EXCEL'!$C43,'ETAPE 4'!$B$18:$I$25,8,FALSE),0))</f>
        <v>0.3</v>
      </c>
      <c r="I43" s="580">
        <f>IF(ISBLANK('ETAPE 5'!$B$4),0,IF($C43&lt;&gt;0,VLOOKUP('SYNTHESE EXCEL'!$C43,'ETAPE 5'!$B$18:$I$25,8,FALSE),0))</f>
        <v>0</v>
      </c>
      <c r="J43" s="580">
        <f>IF(ISBLANK('ETAPE 6'!$B$4),0,IF($C43&lt;&gt;0,VLOOKUP('SYNTHESE EXCEL'!$C43,'ETAPE 6'!$B$18:$I$25,8,FALSE),0))</f>
        <v>0</v>
      </c>
      <c r="K43" s="578"/>
      <c r="L43" s="580">
        <f>SUM(E43:J43)</f>
        <v>0.78979999999999995</v>
      </c>
    </row>
    <row r="44" spans="2:18" outlineLevel="1" x14ac:dyDescent="0.25">
      <c r="B44" s="561"/>
      <c r="C44" s="562" t="str">
        <f>GENERALITES!B22</f>
        <v>herbes de provence</v>
      </c>
      <c r="E44" s="580">
        <f>IF(ISBLANK('ETAPE 1'!$B$4),0,IF($C44&lt;&gt;0,VLOOKUP('SYNTHESE EXCEL'!$C44,'ETAPE 1'!$B$18:$I$25,8,FALSE),0))</f>
        <v>0.01</v>
      </c>
      <c r="F44" s="580" t="e">
        <f>IF(ISBLANK('ETAPE 2'!$B$4),0,IF($C44&lt;&gt;0,VLOOKUP('SYNTHESE EXCEL'!$C44,'ETAPE 2'!$B$18:$I$25,8,FALSE),0))</f>
        <v>#N/A</v>
      </c>
      <c r="G44" s="580" t="e">
        <f>IF(ISBLANK('ETAPE 3'!$B$4),0,IF($C44&lt;&gt;0,VLOOKUP('SYNTHESE EXCEL'!$C44,'ETAPE 3'!$B$18:$I$25,8,FALSE),0))</f>
        <v>#N/A</v>
      </c>
      <c r="H44" s="580">
        <f>IF(ISBLANK('ETAPE 4'!$B$4),0,IF($C44&lt;&gt;0,VLOOKUP('SYNTHESE EXCEL'!$C44,'ETAPE 4'!$B$18:$I$25,8,FALSE),0))</f>
        <v>5.0000000000000001E-4</v>
      </c>
      <c r="I44" s="580">
        <f>IF(ISBLANK('ETAPE 5'!$B$4),0,IF($C44&lt;&gt;0,VLOOKUP('SYNTHESE EXCEL'!$C44,'ETAPE 5'!$B$18:$I$25,8,FALSE),0))</f>
        <v>0</v>
      </c>
      <c r="J44" s="580">
        <f>IF(ISBLANK('ETAPE 6'!$B$4),0,IF($C44&lt;&gt;0,VLOOKUP('SYNTHESE EXCEL'!$C44,'ETAPE 6'!$B$18:$I$25,8,FALSE),0))</f>
        <v>0</v>
      </c>
      <c r="K44" s="578"/>
      <c r="L44" s="580" t="e">
        <f t="shared" ref="L44:L50" si="1">SUM(E44:J44)</f>
        <v>#N/A</v>
      </c>
    </row>
    <row r="45" spans="2:18" outlineLevel="1" x14ac:dyDescent="0.25">
      <c r="B45" s="561"/>
      <c r="C45" s="562" t="str">
        <f>GENERALITES!B23</f>
        <v>huile d'olive</v>
      </c>
      <c r="E45" s="580">
        <f>IF(ISBLANK('ETAPE 1'!$B$4),0,IF($C45&lt;&gt;0,VLOOKUP('SYNTHESE EXCEL'!$C45,'ETAPE 1'!$B$18:$I$25,8,FALSE),0))</f>
        <v>0.1</v>
      </c>
      <c r="F45" s="580" t="e">
        <f>IF(ISBLANK('ETAPE 2'!$B$4),0,IF($C45&lt;&gt;0,VLOOKUP('SYNTHESE EXCEL'!$C45,'ETAPE 2'!$B$18:$I$25,8,FALSE),0))</f>
        <v>#N/A</v>
      </c>
      <c r="G45" s="580" t="e">
        <f>IF(ISBLANK('ETAPE 3'!$B$4),0,IF($C45&lt;&gt;0,VLOOKUP('SYNTHESE EXCEL'!$C45,'ETAPE 3'!$B$18:$I$25,8,FALSE),0))</f>
        <v>#N/A</v>
      </c>
      <c r="H45" s="580">
        <f>IF(ISBLANK('ETAPE 4'!$B$4),0,IF($C45&lt;&gt;0,VLOOKUP('SYNTHESE EXCEL'!$C45,'ETAPE 4'!$B$18:$I$25,8,FALSE),0))</f>
        <v>0.26</v>
      </c>
      <c r="I45" s="580">
        <f>IF(ISBLANK('ETAPE 5'!$B$4),0,IF($C45&lt;&gt;0,VLOOKUP('SYNTHESE EXCEL'!$C45,'ETAPE 5'!$B$18:$I$25,8,FALSE),0))</f>
        <v>0</v>
      </c>
      <c r="J45" s="580">
        <f>IF(ISBLANK('ETAPE 6'!$B$4),0,IF($C45&lt;&gt;0,VLOOKUP('SYNTHESE EXCEL'!$C45,'ETAPE 6'!$B$18:$I$25,8,FALSE),0))</f>
        <v>0</v>
      </c>
      <c r="K45" s="578"/>
      <c r="L45" s="580" t="e">
        <f t="shared" si="1"/>
        <v>#N/A</v>
      </c>
      <c r="O45" s="342"/>
      <c r="P45" s="342"/>
      <c r="Q45" s="342"/>
      <c r="R45" s="342"/>
    </row>
    <row r="46" spans="2:18" outlineLevel="1" x14ac:dyDescent="0.25">
      <c r="B46" s="561"/>
      <c r="C46" s="562">
        <f>GENERALITES!B24</f>
        <v>0</v>
      </c>
      <c r="E46" s="580">
        <f>IF(ISBLANK('ETAPE 1'!$B$4),0,IF($C46&lt;&gt;0,VLOOKUP('SYNTHESE EXCEL'!$C46,'ETAPE 1'!$B$18:$I$25,8,FALSE),0))</f>
        <v>0</v>
      </c>
      <c r="F46" s="580">
        <f>IF(ISBLANK('ETAPE 2'!$B$4),0,IF($C46&lt;&gt;0,VLOOKUP('SYNTHESE EXCEL'!$C46,'ETAPE 2'!$B$18:$I$25,8,FALSE),0))</f>
        <v>0</v>
      </c>
      <c r="G46" s="580">
        <f>IF(ISBLANK('ETAPE 3'!$B$4),0,IF($C46&lt;&gt;0,VLOOKUP('SYNTHESE EXCEL'!$C46,'ETAPE 3'!$B$18:$I$25,8,FALSE),0))</f>
        <v>0</v>
      </c>
      <c r="H46" s="580">
        <f>IF(ISBLANK('ETAPE 4'!$B$4),0,IF($C46&lt;&gt;0,VLOOKUP('SYNTHESE EXCEL'!$C46,'ETAPE 4'!$B$18:$I$25,8,FALSE),0))</f>
        <v>0</v>
      </c>
      <c r="I46" s="580">
        <f>IF(ISBLANK('ETAPE 5'!$B$4),0,IF($C46&lt;&gt;0,VLOOKUP('SYNTHESE EXCEL'!$C46,'ETAPE 5'!$B$18:$I$25,8,FALSE),0))</f>
        <v>0</v>
      </c>
      <c r="J46" s="580">
        <f>IF(ISBLANK('ETAPE 6'!$B$4),0,IF($C46&lt;&gt;0,VLOOKUP('SYNTHESE EXCEL'!$C46,'ETAPE 6'!$B$18:$I$25,8,FALSE),0))</f>
        <v>0</v>
      </c>
      <c r="K46" s="578"/>
      <c r="L46" s="580">
        <f t="shared" si="1"/>
        <v>0</v>
      </c>
    </row>
    <row r="47" spans="2:18" outlineLevel="1" x14ac:dyDescent="0.25">
      <c r="B47" s="561"/>
      <c r="C47" s="562">
        <f>GENERALITES!B25</f>
        <v>0</v>
      </c>
      <c r="E47" s="580">
        <f>IF(ISBLANK('ETAPE 1'!$B$4),0,IF($C47&lt;&gt;0,VLOOKUP('SYNTHESE EXCEL'!$C47,'ETAPE 1'!$B$18:$I$25,8,FALSE),0))</f>
        <v>0</v>
      </c>
      <c r="F47" s="580">
        <f>IF(ISBLANK('ETAPE 2'!$B$4),0,IF($C47&lt;&gt;0,VLOOKUP('SYNTHESE EXCEL'!$C47,'ETAPE 2'!$B$18:$I$25,8,FALSE),0))</f>
        <v>0</v>
      </c>
      <c r="G47" s="580">
        <f>IF(ISBLANK('ETAPE 3'!$B$4),0,IF($C47&lt;&gt;0,VLOOKUP('SYNTHESE EXCEL'!$C47,'ETAPE 3'!$B$18:$I$25,8,FALSE),0))</f>
        <v>0</v>
      </c>
      <c r="H47" s="580">
        <f>IF(ISBLANK('ETAPE 4'!$B$4),0,IF($C47&lt;&gt;0,VLOOKUP('SYNTHESE EXCEL'!$C47,'ETAPE 4'!$B$18:$I$25,8,FALSE),0))</f>
        <v>0</v>
      </c>
      <c r="I47" s="580">
        <f>IF(ISBLANK('ETAPE 5'!$B$4),0,IF($C47&lt;&gt;0,VLOOKUP('SYNTHESE EXCEL'!$C47,'ETAPE 5'!$B$18:$I$25,8,FALSE),0))</f>
        <v>0</v>
      </c>
      <c r="J47" s="580">
        <f>IF(ISBLANK('ETAPE 6'!$B$4),0,IF($C47&lt;&gt;0,VLOOKUP('SYNTHESE EXCEL'!$C47,'ETAPE 6'!$B$18:$I$25,8,FALSE),0))</f>
        <v>0</v>
      </c>
      <c r="K47" s="578"/>
      <c r="L47" s="580">
        <f t="shared" si="1"/>
        <v>0</v>
      </c>
    </row>
    <row r="48" spans="2:18" outlineLevel="1" x14ac:dyDescent="0.25">
      <c r="B48" s="561"/>
      <c r="C48" s="562">
        <f>GENERALITES!B26</f>
        <v>0</v>
      </c>
      <c r="E48" s="580">
        <f>IF(ISBLANK('ETAPE 1'!$B$4),0,IF($C48&lt;&gt;0,VLOOKUP('SYNTHESE EXCEL'!$C48,'ETAPE 1'!$B$18:$I$25,8,FALSE),0))</f>
        <v>0</v>
      </c>
      <c r="F48" s="580">
        <f>IF(ISBLANK('ETAPE 2'!$B$4),0,IF($C48&lt;&gt;0,VLOOKUP('SYNTHESE EXCEL'!$C48,'ETAPE 2'!$B$18:$I$25,8,FALSE),0))</f>
        <v>0</v>
      </c>
      <c r="G48" s="580">
        <f>IF(ISBLANK('ETAPE 3'!$B$4),0,IF($C48&lt;&gt;0,VLOOKUP('SYNTHESE EXCEL'!$C48,'ETAPE 3'!$B$18:$I$25,8,FALSE),0))</f>
        <v>0</v>
      </c>
      <c r="H48" s="580">
        <f>IF(ISBLANK('ETAPE 4'!$B$4),0,IF($C48&lt;&gt;0,VLOOKUP('SYNTHESE EXCEL'!$C48,'ETAPE 4'!$B$18:$I$25,8,FALSE),0))</f>
        <v>0</v>
      </c>
      <c r="I48" s="580">
        <f>IF(ISBLANK('ETAPE 5'!$B$4),0,IF($C48&lt;&gt;0,VLOOKUP('SYNTHESE EXCEL'!$C48,'ETAPE 5'!$B$18:$I$25,8,FALSE),0))</f>
        <v>0</v>
      </c>
      <c r="J48" s="580">
        <f>IF(ISBLANK('ETAPE 6'!$B$4),0,IF($C48&lt;&gt;0,VLOOKUP('SYNTHESE EXCEL'!$C48,'ETAPE 6'!$B$18:$I$25,8,FALSE),0))</f>
        <v>0</v>
      </c>
      <c r="K48" s="578"/>
      <c r="L48" s="580">
        <f t="shared" si="1"/>
        <v>0</v>
      </c>
    </row>
    <row r="49" spans="2:14" outlineLevel="1" x14ac:dyDescent="0.25">
      <c r="B49" s="561"/>
      <c r="C49" s="562">
        <f>GENERALITES!B27</f>
        <v>0</v>
      </c>
      <c r="E49" s="580">
        <f>IF(ISBLANK('ETAPE 1'!$B$4),0,IF($C49&lt;&gt;0,VLOOKUP('SYNTHESE EXCEL'!$C49,'ETAPE 1'!$B$18:$I$25,8,FALSE),0))</f>
        <v>0</v>
      </c>
      <c r="F49" s="580">
        <f>IF(ISBLANK('ETAPE 2'!$B$4),0,IF($C49&lt;&gt;0,VLOOKUP('SYNTHESE EXCEL'!$C49,'ETAPE 2'!$B$18:$I$25,8,FALSE),0))</f>
        <v>0</v>
      </c>
      <c r="G49" s="580">
        <f>IF(ISBLANK('ETAPE 3'!$B$4),0,IF($C49&lt;&gt;0,VLOOKUP('SYNTHESE EXCEL'!$C49,'ETAPE 3'!$B$18:$I$25,8,FALSE),0))</f>
        <v>0</v>
      </c>
      <c r="H49" s="580">
        <f>IF(ISBLANK('ETAPE 4'!$B$4),0,IF($C49&lt;&gt;0,VLOOKUP('SYNTHESE EXCEL'!$C49,'ETAPE 4'!$B$18:$I$25,8,FALSE),0))</f>
        <v>0</v>
      </c>
      <c r="I49" s="580">
        <f>IF(ISBLANK('ETAPE 5'!$B$4),0,IF($C49&lt;&gt;0,VLOOKUP('SYNTHESE EXCEL'!$C49,'ETAPE 5'!$B$18:$I$25,8,FALSE),0))</f>
        <v>0</v>
      </c>
      <c r="J49" s="580">
        <f>IF(ISBLANK('ETAPE 6'!$B$4),0,IF($C49&lt;&gt;0,VLOOKUP('SYNTHESE EXCEL'!$C49,'ETAPE 6'!$B$18:$I$25,8,FALSE),0))</f>
        <v>0</v>
      </c>
      <c r="K49" s="578"/>
      <c r="L49" s="580">
        <f t="shared" si="1"/>
        <v>0</v>
      </c>
    </row>
    <row r="50" spans="2:14" outlineLevel="1" x14ac:dyDescent="0.25">
      <c r="B50" s="561"/>
      <c r="C50" s="562">
        <f>GENERALITES!B31</f>
        <v>0</v>
      </c>
      <c r="E50" s="580">
        <f>IF(ISBLANK('ETAPE 1'!$B$4),0,IF($C50&lt;&gt;0,VLOOKUP('SYNTHESE EXCEL'!$C50,'ETAPE 1'!$B$18:$I$25,8,FALSE),0))</f>
        <v>0</v>
      </c>
      <c r="F50" s="580">
        <f>IF(ISBLANK('ETAPE 2'!$B$4),0,IF($C50&lt;&gt;0,VLOOKUP('SYNTHESE EXCEL'!$C50,'ETAPE 2'!$B$18:$I$25,8,FALSE),0))</f>
        <v>0</v>
      </c>
      <c r="G50" s="580">
        <f>IF(ISBLANK('ETAPE 3'!$B$4),0,IF($C50&lt;&gt;0,VLOOKUP('SYNTHESE EXCEL'!$C50,'ETAPE 3'!$B$18:$I$25,8,FALSE),0))</f>
        <v>0</v>
      </c>
      <c r="H50" s="580">
        <f>IF(ISBLANK('ETAPE 4'!$B$4),0,IF($C50&lt;&gt;0,VLOOKUP('SYNTHESE EXCEL'!$C50,'ETAPE 4'!$B$18:$I$25,8,FALSE),0))</f>
        <v>0</v>
      </c>
      <c r="I50" s="580">
        <f>IF(ISBLANK('ETAPE 5'!$B$4),0,IF($C50&lt;&gt;0,VLOOKUP('SYNTHESE EXCEL'!$C50,'ETAPE 5'!$B$18:$I$25,8,FALSE),0))</f>
        <v>0</v>
      </c>
      <c r="J50" s="580">
        <f>IF(ISBLANK('ETAPE 6'!$B$4),0,IF($C50&lt;&gt;0,VLOOKUP('SYNTHESE EXCEL'!$C50,'ETAPE 6'!$B$18:$I$25,8,FALSE),0))</f>
        <v>0</v>
      </c>
      <c r="K50" s="578"/>
      <c r="L50" s="580">
        <f t="shared" si="1"/>
        <v>0</v>
      </c>
    </row>
    <row r="51" spans="2:14" ht="8.25" customHeight="1" x14ac:dyDescent="0.25"/>
    <row r="52" spans="2:14" x14ac:dyDescent="0.25">
      <c r="B52" s="579" t="s">
        <v>576</v>
      </c>
      <c r="C52" s="579"/>
      <c r="E52" s="580">
        <f>IF(ISBLANK('ETAPE 1'!$B$4),0,'ETAPE 1'!$K$123)</f>
        <v>0.50590219224283306</v>
      </c>
      <c r="F52" s="580">
        <f>IF(ISBLANK('ETAPE 2'!$B$4),0,'ETAPE 2'!$K$123)</f>
        <v>2.1313614615050023</v>
      </c>
      <c r="G52" s="580">
        <f>IF(ISBLANK('ETAPE 3'!$B$4),0,'ETAPE 3'!$K$123)</f>
        <v>0</v>
      </c>
      <c r="H52" s="580">
        <f>IF(ISBLANK('ETAPE 4'!$B$4),0,'ETAPE 4'!$K$123)</f>
        <v>10.080935251798561</v>
      </c>
      <c r="I52" s="580">
        <f>IF(ISBLANK('ETAPE 5'!$B$4),0,'ETAPE 5'!$K$123)</f>
        <v>0</v>
      </c>
      <c r="J52" s="580">
        <f>IF(ISBLANK('ETAPE 6'!$B$4),0,'ETAPE 6'!$K$123)</f>
        <v>0</v>
      </c>
      <c r="K52" s="578"/>
      <c r="L52" s="581">
        <f>IF(L22&lt;&gt;0,(L22-L32)/L22*100,0)</f>
        <v>16.674999999999997</v>
      </c>
      <c r="N52" s="567"/>
    </row>
    <row r="53" spans="2:14" outlineLevel="1" x14ac:dyDescent="0.25">
      <c r="B53" s="561" t="s">
        <v>577</v>
      </c>
      <c r="C53" s="562" t="str">
        <f>GENERALITES!B21</f>
        <v>tomates grappe</v>
      </c>
      <c r="E53" s="580">
        <f>IF(ISBLANK('ETAPE 1'!$B$4),0,IF($C53&lt;&gt;0,VLOOKUP('SYNTHESE EXCEL'!$C53,'ETAPE 1'!$B$18:$K$25,10,FALSE),0))</f>
        <v>4.3478260869565216E-2</v>
      </c>
      <c r="F53" s="580">
        <f>IF(ISBLANK('ETAPE 2'!$B$4),0,IF($C53&lt;&gt;0,VLOOKUP('SYNTHESE EXCEL'!$C53,'ETAPE 2'!$B$18:$K$25,10,FALSE),0))</f>
        <v>2.1313614615050023</v>
      </c>
      <c r="G53" s="580">
        <f>IF(ISBLANK('ETAPE 3'!$B$4),0,IF($C53&lt;&gt;0,VLOOKUP('SYNTHESE EXCEL'!$C53,'ETAPE 3'!$B$18:$K$25,10,FALSE),0))</f>
        <v>0</v>
      </c>
      <c r="H53" s="580">
        <f>IF(ISBLANK('ETAPE 4'!$B$4),0,IF($C53&lt;&gt;0,VLOOKUP('SYNTHESE EXCEL'!$C53,'ETAPE 4'!$B$18:$K$25,10,FALSE),0))</f>
        <v>6.0606060606060597</v>
      </c>
      <c r="I53" s="580">
        <f>IF(ISBLANK('ETAPE 5'!$B$4),0,IF($C53&lt;&gt;0,VLOOKUP('SYNTHESE EXCEL'!$C53,'ETAPE 5'!$B$18:$K$25,10,FALSE),0))</f>
        <v>0</v>
      </c>
      <c r="J53" s="580">
        <f>IF(ISBLANK('ETAPE 6'!$B$4),0,IF($C53&lt;&gt;0,VLOOKUP('SYNTHESE EXCEL'!$C53,'ETAPE 6'!$B$18:$K$25,10,FALSE),0))</f>
        <v>0</v>
      </c>
      <c r="K53" s="578"/>
      <c r="L53" s="581">
        <f t="shared" ref="L53:L60" si="2">IF(L23&lt;&gt;0,(L23-L33)/L23*100,0)</f>
        <v>8.1027667984189584</v>
      </c>
      <c r="N53" s="567"/>
    </row>
    <row r="54" spans="2:14" outlineLevel="1" x14ac:dyDescent="0.25">
      <c r="B54" s="561"/>
      <c r="C54" s="562" t="str">
        <f>GENERALITES!B22</f>
        <v>herbes de provence</v>
      </c>
      <c r="E54" s="580">
        <f>IF(ISBLANK('ETAPE 1'!$B$4),0,IF($C54&lt;&gt;0,VLOOKUP('SYNTHESE EXCEL'!$C54,'ETAPE 1'!$B$18:$K$25,10,FALSE),0))</f>
        <v>8.3333333333333339</v>
      </c>
      <c r="F54" s="580" t="e">
        <f>IF(ISBLANK('ETAPE 2'!$B$4),0,IF($C54&lt;&gt;0,VLOOKUP('SYNTHESE EXCEL'!$C54,'ETAPE 2'!$B$18:$K$25,10,FALSE),0))</f>
        <v>#N/A</v>
      </c>
      <c r="G54" s="580" t="e">
        <f>IF(ISBLANK('ETAPE 3'!$B$4),0,IF($C54&lt;&gt;0,VLOOKUP('SYNTHESE EXCEL'!$C54,'ETAPE 3'!$B$18:$K$25,10,FALSE),0))</f>
        <v>#N/A</v>
      </c>
      <c r="H54" s="580">
        <f>IF(ISBLANK('ETAPE 4'!$B$4),0,IF($C54&lt;&gt;0,VLOOKUP('SYNTHESE EXCEL'!$C54,'ETAPE 4'!$B$18:$K$25,10,FALSE),0))</f>
        <v>0.45454545454545453</v>
      </c>
      <c r="I54" s="580">
        <f>IF(ISBLANK('ETAPE 5'!$B$4),0,IF($C54&lt;&gt;0,VLOOKUP('SYNTHESE EXCEL'!$C54,'ETAPE 5'!$B$18:$K$25,10,FALSE),0))</f>
        <v>0</v>
      </c>
      <c r="J54" s="580">
        <f>IF(ISBLANK('ETAPE 6'!$B$4),0,IF($C54&lt;&gt;0,VLOOKUP('SYNTHESE EXCEL'!$C54,'ETAPE 6'!$B$18:$K$25,10,FALSE),0))</f>
        <v>0</v>
      </c>
      <c r="K54" s="578"/>
      <c r="L54" s="581">
        <f t="shared" si="2"/>
        <v>8.7499999999999964</v>
      </c>
      <c r="N54" s="567"/>
    </row>
    <row r="55" spans="2:14" outlineLevel="1" x14ac:dyDescent="0.25">
      <c r="B55" s="561"/>
      <c r="C55" s="562" t="str">
        <f>GENERALITES!B23</f>
        <v>huile d'olive</v>
      </c>
      <c r="E55" s="580">
        <f>IF(ISBLANK('ETAPE 1'!$B$4),0,IF($C55&lt;&gt;0,VLOOKUP('SYNTHESE EXCEL'!$C55,'ETAPE 1'!$B$18:$K$25,10,FALSE),0))</f>
        <v>16.666666666666668</v>
      </c>
      <c r="F55" s="580" t="e">
        <f>IF(ISBLANK('ETAPE 2'!$B$4),0,IF($C55&lt;&gt;0,VLOOKUP('SYNTHESE EXCEL'!$C55,'ETAPE 2'!$B$18:$K$25,10,FALSE),0))</f>
        <v>#N/A</v>
      </c>
      <c r="G55" s="580" t="e">
        <f>IF(ISBLANK('ETAPE 3'!$B$4),0,IF($C55&lt;&gt;0,VLOOKUP('SYNTHESE EXCEL'!$C55,'ETAPE 3'!$B$18:$K$25,10,FALSE),0))</f>
        <v>#N/A</v>
      </c>
      <c r="H55" s="580">
        <f>IF(ISBLANK('ETAPE 4'!$B$4),0,IF($C55&lt;&gt;0,VLOOKUP('SYNTHESE EXCEL'!$C55,'ETAPE 4'!$B$18:$K$25,10,FALSE),0))</f>
        <v>52</v>
      </c>
      <c r="I55" s="580">
        <f>IF(ISBLANK('ETAPE 5'!$B$4),0,IF($C55&lt;&gt;0,VLOOKUP('SYNTHESE EXCEL'!$C55,'ETAPE 5'!$B$18:$K$25,10,FALSE),0))</f>
        <v>0</v>
      </c>
      <c r="J55" s="580">
        <f>IF(ISBLANK('ETAPE 6'!$B$4),0,IF($C55&lt;&gt;0,VLOOKUP('SYNTHESE EXCEL'!$C55,'ETAPE 6'!$B$18:$K$25,10,FALSE),0))</f>
        <v>0</v>
      </c>
      <c r="K55" s="578"/>
      <c r="L55" s="581">
        <f t="shared" si="2"/>
        <v>60</v>
      </c>
      <c r="N55" s="567"/>
    </row>
    <row r="56" spans="2:14" outlineLevel="1" x14ac:dyDescent="0.25">
      <c r="B56" s="561"/>
      <c r="C56" s="562">
        <f>GENERALITES!B24</f>
        <v>0</v>
      </c>
      <c r="E56" s="580">
        <f>IF(ISBLANK('ETAPE 1'!$B$4),0,IF($C56&lt;&gt;0,VLOOKUP('SYNTHESE EXCEL'!$C56,'ETAPE 1'!$B$18:$K$25,10,FALSE),0))</f>
        <v>0</v>
      </c>
      <c r="F56" s="580">
        <f>IF(ISBLANK('ETAPE 2'!$B$4),0,IF($C56&lt;&gt;0,VLOOKUP('SYNTHESE EXCEL'!$C56,'ETAPE 2'!$B$18:$K$25,10,FALSE),0))</f>
        <v>0</v>
      </c>
      <c r="G56" s="580">
        <f>IF(ISBLANK('ETAPE 3'!$B$4),0,IF($C56&lt;&gt;0,VLOOKUP('SYNTHESE EXCEL'!$C56,'ETAPE 3'!$B$18:$K$25,10,FALSE),0))</f>
        <v>0</v>
      </c>
      <c r="H56" s="580">
        <f>IF(ISBLANK('ETAPE 4'!$B$4),0,IF($C56&lt;&gt;0,VLOOKUP('SYNTHESE EXCEL'!$C56,'ETAPE 4'!$B$18:$K$25,10,FALSE),0))</f>
        <v>0</v>
      </c>
      <c r="I56" s="580">
        <f>IF(ISBLANK('ETAPE 5'!$B$4),0,IF($C56&lt;&gt;0,VLOOKUP('SYNTHESE EXCEL'!$C56,'ETAPE 5'!$B$18:$K$25,10,FALSE),0))</f>
        <v>0</v>
      </c>
      <c r="J56" s="580">
        <f>IF(ISBLANK('ETAPE 6'!$B$4),0,IF($C56&lt;&gt;0,VLOOKUP('SYNTHESE EXCEL'!$C56,'ETAPE 6'!$B$18:$K$25,10,FALSE),0))</f>
        <v>0</v>
      </c>
      <c r="K56" s="578"/>
      <c r="L56" s="581">
        <f t="shared" si="2"/>
        <v>0</v>
      </c>
      <c r="N56" s="567"/>
    </row>
    <row r="57" spans="2:14" outlineLevel="1" x14ac:dyDescent="0.25">
      <c r="B57" s="561"/>
      <c r="C57" s="562">
        <f>GENERALITES!B25</f>
        <v>0</v>
      </c>
      <c r="E57" s="580">
        <f>IF(ISBLANK('ETAPE 1'!$B$4),0,IF($C57&lt;&gt;0,VLOOKUP('SYNTHESE EXCEL'!$C57,'ETAPE 1'!$B$18:$K$25,10,FALSE),0))</f>
        <v>0</v>
      </c>
      <c r="F57" s="580">
        <f>IF(ISBLANK('ETAPE 2'!$B$4),0,IF($C57&lt;&gt;0,VLOOKUP('SYNTHESE EXCEL'!$C57,'ETAPE 2'!$B$18:$K$25,10,FALSE),0))</f>
        <v>0</v>
      </c>
      <c r="G57" s="580">
        <f>IF(ISBLANK('ETAPE 3'!$B$4),0,IF($C57&lt;&gt;0,VLOOKUP('SYNTHESE EXCEL'!$C57,'ETAPE 3'!$B$18:$K$25,10,FALSE),0))</f>
        <v>0</v>
      </c>
      <c r="H57" s="580">
        <f>IF(ISBLANK('ETAPE 4'!$B$4),0,IF($C57&lt;&gt;0,VLOOKUP('SYNTHESE EXCEL'!$C57,'ETAPE 4'!$B$18:$K$25,10,FALSE),0))</f>
        <v>0</v>
      </c>
      <c r="I57" s="580">
        <f>IF(ISBLANK('ETAPE 5'!$B$4),0,IF($C57&lt;&gt;0,VLOOKUP('SYNTHESE EXCEL'!$C57,'ETAPE 5'!$B$18:$K$25,10,FALSE),0))</f>
        <v>0</v>
      </c>
      <c r="J57" s="580">
        <f>IF(ISBLANK('ETAPE 6'!$B$4),0,IF($C57&lt;&gt;0,VLOOKUP('SYNTHESE EXCEL'!$C57,'ETAPE 6'!$B$18:$K$25,10,FALSE),0))</f>
        <v>0</v>
      </c>
      <c r="K57" s="578"/>
      <c r="L57" s="581">
        <f t="shared" si="2"/>
        <v>0</v>
      </c>
      <c r="N57" s="567"/>
    </row>
    <row r="58" spans="2:14" outlineLevel="1" x14ac:dyDescent="0.25">
      <c r="B58" s="561"/>
      <c r="C58" s="562">
        <f>GENERALITES!B26</f>
        <v>0</v>
      </c>
      <c r="E58" s="580">
        <f>IF(ISBLANK('ETAPE 1'!$B$4),0,IF($C58&lt;&gt;0,VLOOKUP('SYNTHESE EXCEL'!$C58,'ETAPE 1'!$B$18:$K$25,10,FALSE),0))</f>
        <v>0</v>
      </c>
      <c r="F58" s="580">
        <f>IF(ISBLANK('ETAPE 2'!$B$4),0,IF($C58&lt;&gt;0,VLOOKUP('SYNTHESE EXCEL'!$C58,'ETAPE 2'!$B$18:$K$25,10,FALSE),0))</f>
        <v>0</v>
      </c>
      <c r="G58" s="580">
        <f>IF(ISBLANK('ETAPE 3'!$B$4),0,IF($C58&lt;&gt;0,VLOOKUP('SYNTHESE EXCEL'!$C58,'ETAPE 3'!$B$18:$K$25,10,FALSE),0))</f>
        <v>0</v>
      </c>
      <c r="H58" s="580">
        <f>IF(ISBLANK('ETAPE 4'!$B$4),0,IF($C58&lt;&gt;0,VLOOKUP('SYNTHESE EXCEL'!$C58,'ETAPE 4'!$B$18:$K$25,10,FALSE),0))</f>
        <v>0</v>
      </c>
      <c r="I58" s="580">
        <f>IF(ISBLANK('ETAPE 5'!$B$4),0,IF($C58&lt;&gt;0,VLOOKUP('SYNTHESE EXCEL'!$C58,'ETAPE 5'!$B$18:$K$25,10,FALSE),0))</f>
        <v>0</v>
      </c>
      <c r="J58" s="580">
        <f>IF(ISBLANK('ETAPE 6'!$B$4),0,IF($C58&lt;&gt;0,VLOOKUP('SYNTHESE EXCEL'!$C58,'ETAPE 6'!$B$18:$K$25,10,FALSE),0))</f>
        <v>0</v>
      </c>
      <c r="K58" s="578"/>
      <c r="L58" s="581">
        <f t="shared" si="2"/>
        <v>0</v>
      </c>
      <c r="N58" s="567"/>
    </row>
    <row r="59" spans="2:14" outlineLevel="1" x14ac:dyDescent="0.25">
      <c r="B59" s="561"/>
      <c r="C59" s="562">
        <f>GENERALITES!B27</f>
        <v>0</v>
      </c>
      <c r="E59" s="580">
        <f>IF(ISBLANK('ETAPE 1'!$B$4),0,IF($C59&lt;&gt;0,VLOOKUP('SYNTHESE EXCEL'!$C59,'ETAPE 1'!$B$18:$K$25,10,FALSE),0))</f>
        <v>0</v>
      </c>
      <c r="F59" s="580">
        <f>IF(ISBLANK('ETAPE 2'!$B$4),0,IF($C59&lt;&gt;0,VLOOKUP('SYNTHESE EXCEL'!$C59,'ETAPE 2'!$B$18:$K$25,10,FALSE),0))</f>
        <v>0</v>
      </c>
      <c r="G59" s="580">
        <f>IF(ISBLANK('ETAPE 3'!$B$4),0,IF($C59&lt;&gt;0,VLOOKUP('SYNTHESE EXCEL'!$C59,'ETAPE 3'!$B$18:$K$25,10,FALSE),0))</f>
        <v>0</v>
      </c>
      <c r="H59" s="580">
        <f>IF(ISBLANK('ETAPE 4'!$B$4),0,IF($C59&lt;&gt;0,VLOOKUP('SYNTHESE EXCEL'!$C59,'ETAPE 4'!$B$18:$K$25,10,FALSE),0))</f>
        <v>0</v>
      </c>
      <c r="I59" s="580">
        <f>IF(ISBLANK('ETAPE 5'!$B$4),0,IF($C59&lt;&gt;0,VLOOKUP('SYNTHESE EXCEL'!$C59,'ETAPE 5'!$B$18:$K$25,10,FALSE),0))</f>
        <v>0</v>
      </c>
      <c r="J59" s="580">
        <f>IF(ISBLANK('ETAPE 6'!$B$4),0,IF($C59&lt;&gt;0,VLOOKUP('SYNTHESE EXCEL'!$C59,'ETAPE 6'!$B$18:$K$25,10,FALSE),0))</f>
        <v>0</v>
      </c>
      <c r="K59" s="578"/>
      <c r="L59" s="581">
        <f t="shared" si="2"/>
        <v>0</v>
      </c>
      <c r="N59" s="567"/>
    </row>
    <row r="60" spans="2:14" outlineLevel="1" x14ac:dyDescent="0.25">
      <c r="B60" s="561"/>
      <c r="C60" s="562">
        <f>GENERALITES!B31</f>
        <v>0</v>
      </c>
      <c r="E60" s="580">
        <f>IF(ISBLANK('ETAPE 1'!$B$4),0,IF($C60&lt;&gt;0,VLOOKUP('SYNTHESE EXCEL'!$C60,'ETAPE 1'!$B$18:$K$25,10,FALSE),0))</f>
        <v>0</v>
      </c>
      <c r="F60" s="580">
        <f>IF(ISBLANK('ETAPE 2'!$B$4),0,IF($C60&lt;&gt;0,VLOOKUP('SYNTHESE EXCEL'!$C60,'ETAPE 2'!$B$18:$K$25,10,FALSE),0))</f>
        <v>0</v>
      </c>
      <c r="G60" s="580">
        <f>IF(ISBLANK('ETAPE 3'!$B$4),0,IF($C60&lt;&gt;0,VLOOKUP('SYNTHESE EXCEL'!$C60,'ETAPE 3'!$B$18:$K$25,10,FALSE),0))</f>
        <v>0</v>
      </c>
      <c r="H60" s="580">
        <f>IF(ISBLANK('ETAPE 4'!$B$4),0,IF($C60&lt;&gt;0,VLOOKUP('SYNTHESE EXCEL'!$C60,'ETAPE 4'!$B$18:$K$25,10,FALSE),0))</f>
        <v>0</v>
      </c>
      <c r="I60" s="580">
        <f>IF(ISBLANK('ETAPE 5'!$B$4),0,IF($C60&lt;&gt;0,VLOOKUP('SYNTHESE EXCEL'!$C60,'ETAPE 5'!$B$18:$K$25,10,FALSE),0))</f>
        <v>0</v>
      </c>
      <c r="J60" s="580">
        <f>IF(ISBLANK('ETAPE 6'!$B$4),0,IF($C60&lt;&gt;0,VLOOKUP('SYNTHESE EXCEL'!$C60,'ETAPE 6'!$B$18:$K$25,10,FALSE),0))</f>
        <v>0</v>
      </c>
      <c r="K60" s="578"/>
      <c r="L60" s="581">
        <f t="shared" si="2"/>
        <v>0</v>
      </c>
      <c r="N60" s="567"/>
    </row>
    <row r="61" spans="2:14" ht="6.75" customHeight="1" x14ac:dyDescent="0.25">
      <c r="E61" s="578"/>
      <c r="F61" s="578"/>
      <c r="G61" s="578"/>
      <c r="H61" s="578"/>
      <c r="I61" s="578"/>
      <c r="J61" s="578"/>
      <c r="K61" s="578"/>
      <c r="L61" s="578"/>
    </row>
    <row r="62" spans="2:14" outlineLevel="1" x14ac:dyDescent="0.25">
      <c r="B62" s="561" t="s">
        <v>506</v>
      </c>
      <c r="C62" s="562" t="str">
        <f>GENERALITES!B68</f>
        <v>DIB</v>
      </c>
      <c r="E62" s="580">
        <f>IF(ISNA(VLOOKUP($C62,'ETAPE 1'!$B$114:$K$117,10,FALSE)),0,VLOOKUP($C62,'ETAPE 1'!$B$114:$K$117,10,FALSE))</f>
        <v>0.13</v>
      </c>
      <c r="F62" s="580">
        <f>IF(ISNA(VLOOKUP($C62,'ETAPE 2'!$B$114:$K$117,10,FALSE)),0,VLOOKUP($C62,'ETAPE 2'!$B$114:$K$117,10,FALSE))</f>
        <v>0</v>
      </c>
      <c r="G62" s="580">
        <f>IF(ISNA(VLOOKUP($C62,'ETAPE 3'!$B$114:$K$117,10,FALSE)),0,VLOOKUP($C62,'ETAPE 3'!$B$114:$K$117,10,FALSE))</f>
        <v>0</v>
      </c>
      <c r="H62" s="580">
        <f>IF(ISNA(VLOOKUP($C62,'ETAPE 4'!$B$114:$K$117,10,FALSE)),0,VLOOKUP($C62,'ETAPE 4'!$B$114:$K$117,10,FALSE))</f>
        <v>0.16814999999999999</v>
      </c>
      <c r="I62" s="580">
        <f>IF(ISNA(VLOOKUP($C62,'ETAPE 5'!$B$114:$K$117,10,FALSE)),0,VLOOKUP($C62,'ETAPE 5'!$B$114:$K$117,10,FALSE))</f>
        <v>0</v>
      </c>
      <c r="J62" s="580">
        <f>IF(ISNA(VLOOKUP($C62,'ETAPE 6'!$B$114:$K$117,10,FALSE)),0,VLOOKUP($C62,'ETAPE 6'!$B$114:$K$117,10,FALSE))</f>
        <v>0</v>
      </c>
      <c r="K62" s="578"/>
      <c r="L62" s="580">
        <f>SUM(E62:J62)</f>
        <v>0.29815000000000003</v>
      </c>
    </row>
    <row r="63" spans="2:14" outlineLevel="1" x14ac:dyDescent="0.25">
      <c r="B63" s="561"/>
      <c r="C63" s="562" t="str">
        <f>GENERALITES!B69</f>
        <v>méthanisation</v>
      </c>
      <c r="E63" s="580">
        <f>IF(ISNA(VLOOKUP($C63,'ETAPE 1'!$B$114:$K$117,10,FALSE)),0,VLOOKUP($C63,'ETAPE 1'!$B$114:$K$117,10,FALSE))</f>
        <v>0</v>
      </c>
      <c r="F63" s="580">
        <f>IF(ISNA(VLOOKUP($C63,'ETAPE 2'!$B$114:$K$117,10,FALSE)),0,VLOOKUP($C63,'ETAPE 2'!$B$114:$K$117,10,FALSE))</f>
        <v>0.49</v>
      </c>
      <c r="G63" s="580">
        <f>IF(ISNA(VLOOKUP($C63,'ETAPE 3'!$B$114:$K$117,10,FALSE)),0,VLOOKUP($C63,'ETAPE 3'!$B$114:$K$117,10,FALSE))</f>
        <v>0</v>
      </c>
      <c r="H63" s="580">
        <f>IF(ISNA(VLOOKUP($C63,'ETAPE 4'!$B$114:$K$117,10,FALSE)),0,VLOOKUP($C63,'ETAPE 4'!$B$114:$K$117,10,FALSE))</f>
        <v>0.39234999999999998</v>
      </c>
      <c r="I63" s="580">
        <f>IF(ISNA(VLOOKUP($C63,'ETAPE 5'!$B$114:$K$117,10,FALSE)),0,VLOOKUP($C63,'ETAPE 5'!$B$114:$K$117,10,FALSE))</f>
        <v>0</v>
      </c>
      <c r="J63" s="580">
        <f>IF(ISNA(VLOOKUP($C63,'ETAPE 6'!$B$114:$K$117,10,FALSE)),0,VLOOKUP($C63,'ETAPE 6'!$B$114:$K$117,10,FALSE))</f>
        <v>0</v>
      </c>
      <c r="K63" s="578"/>
      <c r="L63" s="580">
        <f t="shared" ref="L63:L65" si="3">SUM(E63:J63)</f>
        <v>0.88234999999999997</v>
      </c>
    </row>
    <row r="64" spans="2:14" outlineLevel="1" x14ac:dyDescent="0.25">
      <c r="B64" s="561"/>
      <c r="C64" s="562">
        <f>GENERALITES!B70</f>
        <v>0</v>
      </c>
      <c r="E64" s="580">
        <f>IF(ISNA(VLOOKUP($C64,'ETAPE 1'!$B$114:$K$117,10,FALSE)),0,VLOOKUP($C64,'ETAPE 1'!$B$114:$K$117,10,FALSE))</f>
        <v>0</v>
      </c>
      <c r="F64" s="580">
        <f>IF(ISNA(VLOOKUP($C64,'ETAPE 2'!$B$114:$K$117,10,FALSE)),0,VLOOKUP($C64,'ETAPE 2'!$B$114:$K$117,10,FALSE))</f>
        <v>0</v>
      </c>
      <c r="G64" s="580">
        <f>IF(ISNA(VLOOKUP($C64,'ETAPE 3'!$B$114:$K$117,10,FALSE)),0,VLOOKUP($C64,'ETAPE 3'!$B$114:$K$117,10,FALSE))</f>
        <v>0</v>
      </c>
      <c r="H64" s="580">
        <f>IF(ISNA(VLOOKUP($C64,'ETAPE 4'!$B$114:$K$117,10,FALSE)),0,VLOOKUP($C64,'ETAPE 4'!$B$114:$K$117,10,FALSE))</f>
        <v>0</v>
      </c>
      <c r="I64" s="580">
        <f>IF(ISNA(VLOOKUP($C64,'ETAPE 5'!$B$114:$K$117,10,FALSE)),0,VLOOKUP($C64,'ETAPE 5'!$B$114:$K$117,10,FALSE))</f>
        <v>0</v>
      </c>
      <c r="J64" s="580">
        <f>IF(ISNA(VLOOKUP($C64,'ETAPE 6'!$B$114:$K$117,10,FALSE)),0,VLOOKUP($C64,'ETAPE 6'!$B$114:$K$117,10,FALSE))</f>
        <v>0</v>
      </c>
      <c r="K64" s="578"/>
      <c r="L64" s="580">
        <f t="shared" si="3"/>
        <v>0</v>
      </c>
    </row>
    <row r="65" spans="2:16" outlineLevel="1" x14ac:dyDescent="0.25">
      <c r="B65" s="561"/>
      <c r="C65" s="562">
        <f>GENERALITES!B71</f>
        <v>0</v>
      </c>
      <c r="E65" s="580">
        <f>IF(ISNA(VLOOKUP($C65,'ETAPE 1'!$B$114:$K$117,10,FALSE)),0,VLOOKUP($C65,'ETAPE 1'!$B$114:$K$117,10,FALSE))</f>
        <v>0</v>
      </c>
      <c r="F65" s="580">
        <f>IF(ISNA(VLOOKUP($C65,'ETAPE 2'!$B$114:$K$117,10,FALSE)),0,VLOOKUP($C65,'ETAPE 2'!$B$114:$K$117,10,FALSE))</f>
        <v>0</v>
      </c>
      <c r="G65" s="580">
        <f>IF(ISNA(VLOOKUP($C65,'ETAPE 3'!$B$114:$K$117,10,FALSE)),0,VLOOKUP($C65,'ETAPE 3'!$B$114:$K$117,10,FALSE))</f>
        <v>0</v>
      </c>
      <c r="H65" s="580">
        <f>IF(ISNA(VLOOKUP($C65,'ETAPE 4'!$B$114:$K$117,10,FALSE)),0,VLOOKUP($C65,'ETAPE 4'!$B$114:$K$117,10,FALSE))</f>
        <v>0</v>
      </c>
      <c r="I65" s="580">
        <f>IF(ISNA(VLOOKUP($C65,'ETAPE 5'!$B$114:$K$117,10,FALSE)),0,VLOOKUP($C65,'ETAPE 5'!$B$114:$K$117,10,FALSE))</f>
        <v>0</v>
      </c>
      <c r="J65" s="580">
        <f>IF(ISNA(VLOOKUP($C65,'ETAPE 6'!$B$114:$K$117,10,FALSE)),0,VLOOKUP($C65,'ETAPE 6'!$B$114:$K$117,10,FALSE))</f>
        <v>0</v>
      </c>
      <c r="K65" s="578"/>
      <c r="L65" s="580">
        <f t="shared" si="3"/>
        <v>0</v>
      </c>
    </row>
    <row r="66" spans="2:16" x14ac:dyDescent="0.25">
      <c r="B66" s="561" t="s">
        <v>504</v>
      </c>
      <c r="C66" s="562" t="str">
        <f>GENERALITES!B68</f>
        <v>DIB</v>
      </c>
      <c r="E66" s="580">
        <f>IF(ISNA(VLOOKUP($C66,'ETAPE 1'!$B$114:$I$117,8,FALSE)),0,VLOOKUP($C66,'ETAPE 1'!$B$114:$I$117,8,FALSE))</f>
        <v>100</v>
      </c>
      <c r="F66" s="580">
        <f>IF(ISNA(VLOOKUP($C66,'ETAPE 2'!$B$114:$I$117,8,FALSE)),0,VLOOKUP($C66,'ETAPE 2'!$B$114:$I$117,8,FALSE))</f>
        <v>0</v>
      </c>
      <c r="G66" s="580">
        <f>IF(ISNA(VLOOKUP($C66,'ETAPE 3'!$B$114:$I$117,8,FALSE)),0,VLOOKUP($C66,'ETAPE 3'!$B$114:$I$117,8,FALSE))</f>
        <v>0</v>
      </c>
      <c r="H66" s="580">
        <f>IF(ISNA(VLOOKUP($C66,'ETAPE 4'!$B$114:$I$117,8,FALSE)),0,VLOOKUP($C66,'ETAPE 4'!$B$114:$I$117,8,FALSE))</f>
        <v>30</v>
      </c>
      <c r="I66" s="580">
        <f>IF(ISNA(VLOOKUP($C66,'ETAPE 5'!$B$114:$I$117,8,FALSE)),0,VLOOKUP($C66,'ETAPE 5'!$B$114:$I$117,8,FALSE))</f>
        <v>0</v>
      </c>
      <c r="J66" s="580">
        <f>IF(ISNA(VLOOKUP($C66,'ETAPE 6'!$B$114:$I$117,8,FALSE)),0,VLOOKUP($C66,'ETAPE 6'!$B$114:$I$117,8,FALSE))</f>
        <v>0</v>
      </c>
      <c r="K66" s="578"/>
      <c r="L66" s="580">
        <f>IF(SUM($L$62:$L$65)&lt;&gt;0,L62/SUM($L$62:$L$65)*100,0)</f>
        <v>25.256247352816608</v>
      </c>
    </row>
    <row r="67" spans="2:16" x14ac:dyDescent="0.25">
      <c r="B67" s="561"/>
      <c r="C67" s="562" t="str">
        <f>GENERALITES!B69</f>
        <v>méthanisation</v>
      </c>
      <c r="E67" s="580">
        <f>IF(ISNA(VLOOKUP($C67,'ETAPE 1'!$B$114:$I$117,8,FALSE)),0,VLOOKUP($C67,'ETAPE 1'!$B$114:$I$117,8,FALSE))</f>
        <v>0</v>
      </c>
      <c r="F67" s="580">
        <f>IF(ISNA(VLOOKUP($C67,'ETAPE 2'!$B$114:$I$117,8,FALSE)),0,VLOOKUP($C67,'ETAPE 2'!$B$114:$I$117,8,FALSE))</f>
        <v>100</v>
      </c>
      <c r="G67" s="580">
        <f>IF(ISNA(VLOOKUP($C67,'ETAPE 3'!$B$114:$I$117,8,FALSE)),0,VLOOKUP($C67,'ETAPE 3'!$B$114:$I$117,8,FALSE))</f>
        <v>0</v>
      </c>
      <c r="H67" s="580">
        <f>IF(ISNA(VLOOKUP($C67,'ETAPE 4'!$B$114:$I$117,8,FALSE)),0,VLOOKUP($C67,'ETAPE 4'!$B$114:$I$117,8,FALSE))</f>
        <v>70</v>
      </c>
      <c r="I67" s="580">
        <f>IF(ISNA(VLOOKUP($C67,'ETAPE 5'!$B$114:$I$117,8,FALSE)),0,VLOOKUP($C67,'ETAPE 5'!$B$114:$I$117,8,FALSE))</f>
        <v>0</v>
      </c>
      <c r="J67" s="580">
        <f>IF(ISNA(VLOOKUP($C67,'ETAPE 6'!$B$114:$I$117,8,FALSE)),0,VLOOKUP($C67,'ETAPE 6'!$B$114:$I$117,8,FALSE))</f>
        <v>0</v>
      </c>
      <c r="K67" s="578"/>
      <c r="L67" s="580">
        <f t="shared" ref="L67" si="4">IF(SUM($L$62:$L$65)&lt;&gt;0,L63/SUM($L$62:$L$65)*100,0)</f>
        <v>74.743752647183399</v>
      </c>
    </row>
    <row r="68" spans="2:16" x14ac:dyDescent="0.25">
      <c r="B68" s="561"/>
      <c r="C68" s="562">
        <f>GENERALITES!B70</f>
        <v>0</v>
      </c>
      <c r="E68" s="580">
        <f>IF(ISNA(VLOOKUP($C68,'ETAPE 1'!$B$114:$I$117,8,FALSE)),0,VLOOKUP($C68,'ETAPE 1'!$B$114:$I$117,8,FALSE))</f>
        <v>0</v>
      </c>
      <c r="F68" s="580">
        <f>IF(ISNA(VLOOKUP($C68,'ETAPE 2'!$B$114:$I$117,8,FALSE)),0,VLOOKUP($C68,'ETAPE 2'!$B$114:$I$117,8,FALSE))</f>
        <v>0</v>
      </c>
      <c r="G68" s="580">
        <f>IF(ISNA(VLOOKUP($C68,'ETAPE 3'!$B$114:$I$117,8,FALSE)),0,VLOOKUP($C68,'ETAPE 3'!$B$114:$I$117,8,FALSE))</f>
        <v>0</v>
      </c>
      <c r="H68" s="580">
        <f>IF(ISNA(VLOOKUP($C68,'ETAPE 4'!$B$114:$I$117,8,FALSE)),0,VLOOKUP($C68,'ETAPE 4'!$B$114:$I$117,8,FALSE))</f>
        <v>0</v>
      </c>
      <c r="I68" s="580">
        <f>IF(ISNA(VLOOKUP($C68,'ETAPE 5'!$B$114:$I$117,8,FALSE)),0,VLOOKUP($C68,'ETAPE 5'!$B$114:$I$117,8,FALSE))</f>
        <v>0</v>
      </c>
      <c r="J68" s="580">
        <f>IF(ISNA(VLOOKUP($C68,'ETAPE 6'!$B$114:$I$117,8,FALSE)),0,VLOOKUP($C68,'ETAPE 6'!$B$114:$I$117,8,FALSE))</f>
        <v>0</v>
      </c>
      <c r="K68" s="578"/>
      <c r="L68" s="580">
        <f>IF(SUM($L$62:$L$65)&lt;&gt;0,L64/SUM($L$62:$L$65)*100,0)</f>
        <v>0</v>
      </c>
    </row>
    <row r="69" spans="2:16" x14ac:dyDescent="0.25">
      <c r="B69" s="561"/>
      <c r="C69" s="562">
        <f>GENERALITES!B71</f>
        <v>0</v>
      </c>
      <c r="E69" s="580">
        <f>IF(ISNA(VLOOKUP($C69,'ETAPE 1'!$B$114:$I$117,8,FALSE)),0,VLOOKUP($C69,'ETAPE 1'!$B$114:$I$117,8,FALSE))</f>
        <v>0</v>
      </c>
      <c r="F69" s="580">
        <f>IF(ISNA(VLOOKUP($C69,'ETAPE 2'!$B$114:$I$117,8,FALSE)),0,VLOOKUP($C69,'ETAPE 2'!$B$114:$I$117,8,FALSE))</f>
        <v>0</v>
      </c>
      <c r="G69" s="580">
        <f>IF(ISNA(VLOOKUP($C69,'ETAPE 3'!$B$114:$I$117,8,FALSE)),0,VLOOKUP($C69,'ETAPE 3'!$B$114:$I$117,8,FALSE))</f>
        <v>0</v>
      </c>
      <c r="H69" s="580">
        <f>IF(ISNA(VLOOKUP($C69,'ETAPE 4'!$B$114:$I$117,8,FALSE)),0,VLOOKUP($C69,'ETAPE 4'!$B$114:$I$117,8,FALSE))</f>
        <v>0</v>
      </c>
      <c r="I69" s="580">
        <f>IF(ISNA(VLOOKUP($C69,'ETAPE 5'!$B$114:$I$117,8,FALSE)),0,VLOOKUP($C69,'ETAPE 5'!$B$114:$I$117,8,FALSE))</f>
        <v>0</v>
      </c>
      <c r="J69" s="580">
        <f>IF(ISNA(VLOOKUP($C69,'ETAPE 6'!$B$114:$I$117,8,FALSE)),0,VLOOKUP($C69,'ETAPE 6'!$B$114:$I$117,8,FALSE))</f>
        <v>0</v>
      </c>
      <c r="K69" s="578"/>
      <c r="L69" s="580">
        <f>IF(SUM($L$62:$L$65)&lt;&gt;0,L65/SUM($L$62:$L$65)*100,0)</f>
        <v>0</v>
      </c>
    </row>
    <row r="71" spans="2:16" ht="30" customHeight="1" x14ac:dyDescent="0.25">
      <c r="B71" s="552" t="s">
        <v>505</v>
      </c>
      <c r="C71" s="553"/>
      <c r="D71" s="553"/>
      <c r="E71" s="553"/>
      <c r="F71" s="553"/>
      <c r="G71" s="553"/>
      <c r="H71" s="553"/>
      <c r="I71" s="553"/>
      <c r="J71" s="553"/>
      <c r="K71" s="553"/>
      <c r="L71" s="554"/>
    </row>
    <row r="72" spans="2:16" ht="8.25" customHeight="1" x14ac:dyDescent="0.25"/>
    <row r="73" spans="2:16" x14ac:dyDescent="0.25">
      <c r="B73" s="582" t="s">
        <v>578</v>
      </c>
      <c r="C73" s="583"/>
      <c r="E73" s="563">
        <f>'ETAPE 1'!$P$123</f>
        <v>58879.1</v>
      </c>
      <c r="F73" s="563">
        <f>'ETAPE 2'!$P$123</f>
        <v>5110</v>
      </c>
      <c r="G73" s="563">
        <f>'ETAPE 3'!$P$123</f>
        <v>4930</v>
      </c>
      <c r="H73" s="563">
        <f>'ETAPE 4'!$P$123</f>
        <v>5056.3999999999996</v>
      </c>
      <c r="I73" s="563">
        <f>'ETAPE 5'!$P$123</f>
        <v>0</v>
      </c>
      <c r="J73" s="563">
        <f>'ETAPE 6'!$P$123</f>
        <v>0</v>
      </c>
      <c r="K73" s="564"/>
      <c r="L73" s="563">
        <f>SUM(E73:J73)</f>
        <v>73975.5</v>
      </c>
    </row>
    <row r="74" spans="2:16" outlineLevel="1" x14ac:dyDescent="0.25">
      <c r="B74" s="584" t="s">
        <v>579</v>
      </c>
      <c r="C74" s="585" t="s">
        <v>534</v>
      </c>
      <c r="E74" s="563">
        <f>'ETAPE 1'!$P$16</f>
        <v>47630</v>
      </c>
      <c r="F74" s="558">
        <f>'ETAPE 2'!$P$16</f>
        <v>0</v>
      </c>
      <c r="G74" s="558">
        <f>'ETAPE 3'!$P$16</f>
        <v>0</v>
      </c>
      <c r="H74" s="558">
        <f>'ETAPE 4'!$P$16</f>
        <v>0</v>
      </c>
      <c r="I74" s="558">
        <f>'ETAPE 5'!$P$16</f>
        <v>0</v>
      </c>
      <c r="J74" s="558">
        <f>'ETAPE 6'!$P$16</f>
        <v>0</v>
      </c>
      <c r="K74" s="564"/>
      <c r="L74" s="563">
        <f t="shared" ref="L74:L80" si="5">SUM(E74:J74)</f>
        <v>47630</v>
      </c>
      <c r="P74" s="586"/>
    </row>
    <row r="75" spans="2:16" outlineLevel="1" x14ac:dyDescent="0.25">
      <c r="B75" s="584"/>
      <c r="C75" s="585" t="s">
        <v>535</v>
      </c>
      <c r="E75" s="563">
        <f>'ETAPE 1'!$P$31</f>
        <v>1749.1</v>
      </c>
      <c r="F75" s="563">
        <f>'ETAPE 2'!$P$31</f>
        <v>0</v>
      </c>
      <c r="G75" s="563">
        <f>'ETAPE 3'!$P$31</f>
        <v>0</v>
      </c>
      <c r="H75" s="563">
        <f>'ETAPE 4'!$P$31</f>
        <v>201.4</v>
      </c>
      <c r="I75" s="563">
        <f>'ETAPE 5'!$P$31</f>
        <v>0</v>
      </c>
      <c r="J75" s="563">
        <f>'ETAPE 6'!$P$31</f>
        <v>0</v>
      </c>
      <c r="K75" s="564"/>
      <c r="L75" s="563">
        <f t="shared" si="5"/>
        <v>1950.5</v>
      </c>
      <c r="P75" s="586"/>
    </row>
    <row r="76" spans="2:16" outlineLevel="1" x14ac:dyDescent="0.25">
      <c r="B76" s="584"/>
      <c r="C76" s="585" t="s">
        <v>34</v>
      </c>
      <c r="E76" s="563">
        <f>'ETAPE 1'!$P$46</f>
        <v>0</v>
      </c>
      <c r="F76" s="563">
        <f>'ETAPE 2'!$P$46</f>
        <v>90</v>
      </c>
      <c r="G76" s="563">
        <f>'ETAPE 3'!$P$46</f>
        <v>180</v>
      </c>
      <c r="H76" s="563">
        <f>'ETAPE 4'!$P$46</f>
        <v>90</v>
      </c>
      <c r="I76" s="563">
        <f>'ETAPE 5'!$P$46</f>
        <v>0</v>
      </c>
      <c r="J76" s="563">
        <f>'ETAPE 6'!$P$46</f>
        <v>0</v>
      </c>
      <c r="K76" s="564"/>
      <c r="L76" s="563">
        <f t="shared" si="5"/>
        <v>360</v>
      </c>
      <c r="P76" s="586"/>
    </row>
    <row r="77" spans="2:16" outlineLevel="1" x14ac:dyDescent="0.25">
      <c r="B77" s="584"/>
      <c r="C77" s="585" t="s">
        <v>35</v>
      </c>
      <c r="E77" s="563">
        <f>'ETAPE 1'!$P$58</f>
        <v>0</v>
      </c>
      <c r="F77" s="563">
        <f>'ETAPE 2'!$P$58</f>
        <v>0</v>
      </c>
      <c r="G77" s="563">
        <f>'ETAPE 3'!$P$58</f>
        <v>0</v>
      </c>
      <c r="H77" s="563">
        <f>'ETAPE 4'!$P$58</f>
        <v>0</v>
      </c>
      <c r="I77" s="563">
        <f>'ETAPE 5'!$P$58</f>
        <v>0</v>
      </c>
      <c r="J77" s="563">
        <f>'ETAPE 6'!$P$58</f>
        <v>0</v>
      </c>
      <c r="K77" s="564"/>
      <c r="L77" s="563">
        <f t="shared" si="5"/>
        <v>0</v>
      </c>
      <c r="P77" s="586"/>
    </row>
    <row r="78" spans="2:16" outlineLevel="1" x14ac:dyDescent="0.25">
      <c r="B78" s="584"/>
      <c r="C78" s="585" t="s">
        <v>536</v>
      </c>
      <c r="E78" s="563">
        <f>'ETAPE 1'!$P$70</f>
        <v>0</v>
      </c>
      <c r="F78" s="563">
        <f>'ETAPE 2'!$P$70</f>
        <v>0</v>
      </c>
      <c r="G78" s="563">
        <f>'ETAPE 3'!$P$70</f>
        <v>0</v>
      </c>
      <c r="H78" s="563">
        <f>'ETAPE 4'!$P$70</f>
        <v>0</v>
      </c>
      <c r="I78" s="563">
        <f>'ETAPE 5'!$P$70</f>
        <v>0</v>
      </c>
      <c r="J78" s="563">
        <f>'ETAPE 6'!$P$70</f>
        <v>0</v>
      </c>
      <c r="K78" s="564"/>
      <c r="L78" s="563">
        <f t="shared" si="5"/>
        <v>0</v>
      </c>
      <c r="P78" s="586"/>
    </row>
    <row r="79" spans="2:16" outlineLevel="1" x14ac:dyDescent="0.25">
      <c r="B79" s="584"/>
      <c r="C79" s="585" t="s">
        <v>36</v>
      </c>
      <c r="E79" s="563">
        <f>'ETAPE 1'!$P$82</f>
        <v>0</v>
      </c>
      <c r="F79" s="563">
        <f>'ETAPE 2'!$P$82</f>
        <v>270</v>
      </c>
      <c r="G79" s="563">
        <f>'ETAPE 3'!$P$82</f>
        <v>0</v>
      </c>
      <c r="H79" s="563">
        <f>'ETAPE 4'!$P$82</f>
        <v>15</v>
      </c>
      <c r="I79" s="563">
        <f>'ETAPE 5'!$P$82</f>
        <v>0</v>
      </c>
      <c r="J79" s="563">
        <f>'ETAPE 6'!$P$82</f>
        <v>0</v>
      </c>
      <c r="K79" s="564"/>
      <c r="L79" s="563">
        <f t="shared" si="5"/>
        <v>285</v>
      </c>
      <c r="P79" s="586"/>
    </row>
    <row r="80" spans="2:16" outlineLevel="1" x14ac:dyDescent="0.25">
      <c r="B80" s="584"/>
      <c r="C80" s="585" t="s">
        <v>537</v>
      </c>
      <c r="E80" s="563">
        <f>'ETAPE 1'!$P$94</f>
        <v>9500</v>
      </c>
      <c r="F80" s="563">
        <f>'ETAPE 2'!$P$94</f>
        <v>4750</v>
      </c>
      <c r="G80" s="563">
        <f>'ETAPE 3'!$P$94</f>
        <v>4750</v>
      </c>
      <c r="H80" s="563">
        <f>'ETAPE 4'!$P$94</f>
        <v>4750</v>
      </c>
      <c r="I80" s="563">
        <f>'ETAPE 5'!$P$94</f>
        <v>0</v>
      </c>
      <c r="J80" s="563">
        <f>'ETAPE 6'!$P$94</f>
        <v>0</v>
      </c>
      <c r="K80" s="564"/>
      <c r="L80" s="563">
        <f t="shared" si="5"/>
        <v>23750</v>
      </c>
      <c r="P80" s="586"/>
    </row>
    <row r="81" spans="2:15" outlineLevel="1" x14ac:dyDescent="0.25">
      <c r="B81" s="584"/>
      <c r="C81" s="587" t="s">
        <v>538</v>
      </c>
      <c r="E81" s="588"/>
      <c r="F81" s="588"/>
      <c r="G81" s="588"/>
      <c r="H81" s="588"/>
      <c r="I81" s="588"/>
      <c r="J81" s="588"/>
      <c r="K81" s="564"/>
      <c r="L81" s="588"/>
    </row>
    <row r="82" spans="2:15" outlineLevel="1" x14ac:dyDescent="0.25">
      <c r="B82" s="584"/>
      <c r="C82" s="587" t="s">
        <v>539</v>
      </c>
      <c r="E82" s="588"/>
      <c r="F82" s="588"/>
      <c r="G82" s="588"/>
      <c r="H82" s="588"/>
      <c r="I82" s="588"/>
      <c r="J82" s="588"/>
      <c r="K82" s="564"/>
      <c r="L82" s="588"/>
    </row>
    <row r="83" spans="2:15" ht="6.75" customHeight="1" x14ac:dyDescent="0.25">
      <c r="E83" s="564"/>
      <c r="F83" s="564"/>
      <c r="G83" s="564"/>
      <c r="H83" s="564"/>
      <c r="I83" s="564"/>
      <c r="J83" s="564"/>
      <c r="K83" s="564"/>
      <c r="L83" s="564"/>
    </row>
    <row r="84" spans="2:15" x14ac:dyDescent="0.25">
      <c r="B84" s="582" t="s">
        <v>529</v>
      </c>
      <c r="C84" s="583"/>
      <c r="E84" s="588"/>
      <c r="F84" s="588"/>
      <c r="G84" s="588"/>
      <c r="H84" s="588"/>
      <c r="I84" s="588"/>
      <c r="J84" s="588"/>
      <c r="K84" s="564"/>
      <c r="L84" s="558">
        <f>IF(L22&lt;&gt;0,L73/L22,0)</f>
        <v>12329.25</v>
      </c>
      <c r="O84" s="342"/>
    </row>
    <row r="85" spans="2:15" ht="6.75" customHeight="1" x14ac:dyDescent="0.25">
      <c r="E85" s="578"/>
      <c r="F85" s="578"/>
      <c r="G85" s="578"/>
      <c r="H85" s="578"/>
      <c r="I85" s="578"/>
      <c r="J85" s="578"/>
      <c r="K85" s="578"/>
      <c r="L85" s="578"/>
    </row>
    <row r="86" spans="2:15" x14ac:dyDescent="0.25">
      <c r="B86" s="582" t="s">
        <v>507</v>
      </c>
      <c r="C86" s="583"/>
      <c r="E86" s="589">
        <f>'ETAPE 1'!$U$123</f>
        <v>2729.660708263069</v>
      </c>
      <c r="F86" s="589">
        <f>'ETAPE 2'!$AC$123</f>
        <v>-1412.0397375462753</v>
      </c>
      <c r="G86" s="589">
        <f>'ETAPE 3'!$AC$123</f>
        <v>0</v>
      </c>
      <c r="H86" s="589">
        <f>'ETAPE 4'!$AC$123</f>
        <v>6138.4218129181654</v>
      </c>
      <c r="I86" s="589">
        <f>'ETAPE 5'!$AC$123</f>
        <v>0</v>
      </c>
      <c r="J86" s="589">
        <f>'ETAPE 6'!$AC$123</f>
        <v>0</v>
      </c>
      <c r="K86" s="590"/>
      <c r="L86" s="589">
        <f>SUM(E86:J86)</f>
        <v>7456.0427836349591</v>
      </c>
    </row>
    <row r="87" spans="2:15" outlineLevel="1" x14ac:dyDescent="0.25">
      <c r="B87" s="584" t="s">
        <v>540</v>
      </c>
      <c r="C87" s="585" t="s">
        <v>534</v>
      </c>
      <c r="E87" s="563">
        <f>'ETAPE 1'!$U$16</f>
        <v>2115</v>
      </c>
      <c r="F87" s="563">
        <f>'ETAPE 2'!$AC$16</f>
        <v>1015.1674641148326</v>
      </c>
      <c r="G87" s="563">
        <f>'ETAPE 3'!$AC$16</f>
        <v>0</v>
      </c>
      <c r="H87" s="563">
        <f>'ETAPE 4'!$AC$16</f>
        <v>4801.5494604316546</v>
      </c>
      <c r="I87" s="563">
        <f>'ETAPE 5'!$AC$16</f>
        <v>0</v>
      </c>
      <c r="J87" s="563">
        <f>'ETAPE 6'!$AC$16</f>
        <v>0</v>
      </c>
      <c r="K87" s="564"/>
      <c r="L87" s="563">
        <f>SUM(E87:J87)</f>
        <v>7931.7169245464866</v>
      </c>
    </row>
    <row r="88" spans="2:15" outlineLevel="1" x14ac:dyDescent="0.25">
      <c r="B88" s="584"/>
      <c r="C88" s="585" t="s">
        <v>535</v>
      </c>
      <c r="E88" s="563">
        <f>'ETAPE 1'!$U$31</f>
        <v>1.1000000000000001</v>
      </c>
      <c r="F88" s="563">
        <f>'ETAPE 2'!$AC$31</f>
        <v>36.132335581787522</v>
      </c>
      <c r="G88" s="563">
        <f>'ETAPE 3'!$AC$31</f>
        <v>0</v>
      </c>
      <c r="H88" s="563">
        <f>'ETAPE 4'!$AC$31</f>
        <v>187.86803426337573</v>
      </c>
      <c r="I88" s="563">
        <f>'ETAPE 5'!$AC$31</f>
        <v>0</v>
      </c>
      <c r="J88" s="563">
        <f>'ETAPE 6'!$AC$31</f>
        <v>0</v>
      </c>
      <c r="K88" s="564"/>
      <c r="L88" s="563">
        <f t="shared" ref="L88:L92" si="6">SUM(E88:J88)</f>
        <v>225.10036984516324</v>
      </c>
    </row>
    <row r="89" spans="2:15" outlineLevel="1" x14ac:dyDescent="0.25">
      <c r="B89" s="584"/>
      <c r="C89" s="585" t="s">
        <v>34</v>
      </c>
      <c r="E89" s="563">
        <f>'ETAPE 1'!$U$46</f>
        <v>0</v>
      </c>
      <c r="F89" s="563">
        <f>'ETAPE 2'!$AC$46</f>
        <v>1.9182253153545021</v>
      </c>
      <c r="G89" s="563">
        <f>'ETAPE 3'!$AC$46</f>
        <v>0</v>
      </c>
      <c r="H89" s="563">
        <f>'ETAPE 4'!$AC$46</f>
        <v>39.428363890405336</v>
      </c>
      <c r="I89" s="563">
        <f>'ETAPE 5'!$AC$46</f>
        <v>0</v>
      </c>
      <c r="J89" s="563">
        <f>'ETAPE 6'!$AC$46</f>
        <v>0</v>
      </c>
      <c r="K89" s="564"/>
      <c r="L89" s="563">
        <f t="shared" si="6"/>
        <v>41.346589205759841</v>
      </c>
    </row>
    <row r="90" spans="2:15" outlineLevel="1" x14ac:dyDescent="0.25">
      <c r="B90" s="584"/>
      <c r="C90" s="585" t="s">
        <v>35</v>
      </c>
      <c r="E90" s="563">
        <f>'ETAPE 1'!$U$58</f>
        <v>0</v>
      </c>
      <c r="F90" s="563">
        <f>'ETAPE 2'!$AC$58</f>
        <v>0</v>
      </c>
      <c r="G90" s="563">
        <f>'ETAPE 3'!$AC$58</f>
        <v>0</v>
      </c>
      <c r="H90" s="563">
        <f>'ETAPE 4'!$AC$58</f>
        <v>0</v>
      </c>
      <c r="I90" s="563">
        <f>'ETAPE 5'!$AC$58</f>
        <v>0</v>
      </c>
      <c r="J90" s="563">
        <f>'ETAPE 6'!$AC$58</f>
        <v>0</v>
      </c>
      <c r="K90" s="564"/>
      <c r="L90" s="563">
        <f t="shared" si="6"/>
        <v>0</v>
      </c>
    </row>
    <row r="91" spans="2:15" outlineLevel="1" x14ac:dyDescent="0.25">
      <c r="B91" s="584"/>
      <c r="C91" s="585" t="s">
        <v>536</v>
      </c>
      <c r="E91" s="563">
        <f>'ETAPE 1'!$U$70</f>
        <v>0</v>
      </c>
      <c r="F91" s="563">
        <f>'ETAPE 2'!$AC$70</f>
        <v>0</v>
      </c>
      <c r="G91" s="563">
        <f>'ETAPE 3'!$AC$70</f>
        <v>0</v>
      </c>
      <c r="H91" s="563">
        <f>'ETAPE 4'!$AC$70</f>
        <v>0</v>
      </c>
      <c r="I91" s="563">
        <f>'ETAPE 5'!$AC$70</f>
        <v>0</v>
      </c>
      <c r="J91" s="563">
        <f>'ETAPE 6'!$AC$70</f>
        <v>0</v>
      </c>
      <c r="K91" s="564"/>
      <c r="L91" s="563">
        <f t="shared" si="6"/>
        <v>0</v>
      </c>
    </row>
    <row r="92" spans="2:15" outlineLevel="1" x14ac:dyDescent="0.25">
      <c r="B92" s="584"/>
      <c r="C92" s="585" t="s">
        <v>36</v>
      </c>
      <c r="E92" s="563">
        <f>'ETAPE 1'!$U$82</f>
        <v>0</v>
      </c>
      <c r="F92" s="563">
        <f>'ETAPE 2'!$AC$82</f>
        <v>5.7546759460635064</v>
      </c>
      <c r="G92" s="563">
        <f>'ETAPE 3'!$AC$82</f>
        <v>0</v>
      </c>
      <c r="H92" s="563">
        <f>'ETAPE 4'!$AC$82</f>
        <v>31.433252233675116</v>
      </c>
      <c r="I92" s="563">
        <f>'ETAPE 5'!$AC$82</f>
        <v>0</v>
      </c>
      <c r="J92" s="563">
        <f>'ETAPE 6'!$AC$82</f>
        <v>0</v>
      </c>
      <c r="K92" s="564"/>
      <c r="L92" s="563">
        <f t="shared" si="6"/>
        <v>37.18792817973862</v>
      </c>
    </row>
    <row r="93" spans="2:15" outlineLevel="1" x14ac:dyDescent="0.25">
      <c r="B93" s="584"/>
      <c r="C93" s="585" t="s">
        <v>537</v>
      </c>
      <c r="E93" s="563">
        <f>'ETAPE 1'!$U$94</f>
        <v>48.060708263069138</v>
      </c>
      <c r="F93" s="563">
        <f>'ETAPE 2'!$AC$94</f>
        <v>297.48756149568658</v>
      </c>
      <c r="G93" s="563">
        <f>'ETAPE 3'!$AC$94</f>
        <v>0</v>
      </c>
      <c r="H93" s="563">
        <f>'ETAPE 4'!$AC$94</f>
        <v>2563.4677020990534</v>
      </c>
      <c r="I93" s="563">
        <f>'ETAPE 5'!$AC$94</f>
        <v>0</v>
      </c>
      <c r="J93" s="563">
        <f>'ETAPE 6'!$AC$94</f>
        <v>0</v>
      </c>
      <c r="K93" s="564"/>
      <c r="L93" s="563">
        <f>SUM(E93:J93)</f>
        <v>2909.0159718578093</v>
      </c>
    </row>
    <row r="94" spans="2:15" ht="15" customHeight="1" outlineLevel="1" x14ac:dyDescent="0.25">
      <c r="B94" s="584"/>
      <c r="C94" s="587" t="s">
        <v>538</v>
      </c>
      <c r="E94" s="563">
        <f>'ETAPE 1'!$U$106</f>
        <v>45.5</v>
      </c>
      <c r="F94" s="563">
        <f>'ETAPE 2'!$AC$106</f>
        <v>171.5</v>
      </c>
      <c r="G94" s="563">
        <f>'ETAPE 3'!$AC$106</f>
        <v>0</v>
      </c>
      <c r="H94" s="563">
        <f>'ETAPE 4'!$AC$106</f>
        <v>196.17500000000001</v>
      </c>
      <c r="I94" s="563">
        <f>'ETAPE 5'!$AC$106</f>
        <v>0</v>
      </c>
      <c r="J94" s="563">
        <f>'ETAPE 6'!$AC$106</f>
        <v>0</v>
      </c>
      <c r="K94" s="564"/>
      <c r="L94" s="563">
        <f>SUM(E94:J94)</f>
        <v>413.17500000000001</v>
      </c>
    </row>
    <row r="95" spans="2:15" ht="15" customHeight="1" outlineLevel="1" x14ac:dyDescent="0.25">
      <c r="B95" s="584"/>
      <c r="C95" s="587" t="s">
        <v>539</v>
      </c>
      <c r="E95" s="558">
        <f>'ETAPE 1'!$U$112</f>
        <v>520</v>
      </c>
      <c r="F95" s="558">
        <f>'ETAPE 2'!$AC$112</f>
        <v>-2940</v>
      </c>
      <c r="G95" s="558">
        <f>'ETAPE 3'!$AC$112</f>
        <v>0</v>
      </c>
      <c r="H95" s="558">
        <f>'ETAPE 4'!$AC$112</f>
        <v>-1681.5</v>
      </c>
      <c r="I95" s="558">
        <f>'ETAPE 5'!$AC$112</f>
        <v>0</v>
      </c>
      <c r="J95" s="558">
        <f>'ETAPE 6'!$AC$112</f>
        <v>0</v>
      </c>
      <c r="K95" s="559"/>
      <c r="L95" s="558">
        <f>SUM(E95:J95)</f>
        <v>-4101.5</v>
      </c>
    </row>
    <row r="96" spans="2:15" ht="6.75" customHeight="1" x14ac:dyDescent="0.25">
      <c r="E96" s="578"/>
      <c r="F96" s="578"/>
      <c r="G96" s="578"/>
      <c r="H96" s="578"/>
      <c r="I96" s="578"/>
      <c r="J96" s="578"/>
      <c r="K96" s="578"/>
      <c r="L96" s="578"/>
    </row>
    <row r="97" spans="2:12" ht="15" customHeight="1" x14ac:dyDescent="0.25">
      <c r="B97" s="582" t="s">
        <v>508</v>
      </c>
      <c r="C97" s="583"/>
      <c r="E97" s="591">
        <f>IF(GENERALITES!$B$8&lt;&gt;0,E86/GENERALITES!$B$8*100,0)</f>
        <v>1.0918642833052277</v>
      </c>
      <c r="F97" s="591">
        <f>IF(GENERALITES!$B$8&lt;&gt;0,F86/GENERALITES!$B$8*100,0)</f>
        <v>-0.56481589501851015</v>
      </c>
      <c r="G97" s="591">
        <f>IF(GENERALITES!$B$8&lt;&gt;0,G86/GENERALITES!$B$8*100,0)</f>
        <v>0</v>
      </c>
      <c r="H97" s="591">
        <f>IF(GENERALITES!$B$8&lt;&gt;0,H86/GENERALITES!$B$8*100,0)</f>
        <v>2.4553687251672662</v>
      </c>
      <c r="I97" s="591">
        <f>IF(GENERALITES!$B$8&lt;&gt;0,I86/GENERALITES!$B$8*100,0)</f>
        <v>0</v>
      </c>
      <c r="J97" s="591">
        <f>IF(GENERALITES!$B$8&lt;&gt;0,J86/GENERALITES!$B$8*100,0)</f>
        <v>0</v>
      </c>
      <c r="K97" s="592"/>
      <c r="L97" s="591">
        <f>IF(GENERALITES!$B$8&lt;&gt;0,L86/GENERALITES!$B$8*100,0)</f>
        <v>2.9824171134539839</v>
      </c>
    </row>
    <row r="99" spans="2:12" ht="30" customHeight="1" x14ac:dyDescent="0.25">
      <c r="B99" s="552" t="s">
        <v>511</v>
      </c>
      <c r="C99" s="553"/>
      <c r="D99" s="553"/>
      <c r="E99" s="553"/>
      <c r="F99" s="553"/>
      <c r="G99" s="553"/>
      <c r="H99" s="553"/>
      <c r="I99" s="553"/>
      <c r="J99" s="553"/>
      <c r="K99" s="553"/>
      <c r="L99" s="554"/>
    </row>
    <row r="100" spans="2:12" ht="8.25" customHeight="1" x14ac:dyDescent="0.25"/>
    <row r="101" spans="2:12" x14ac:dyDescent="0.25">
      <c r="B101" s="593" t="s">
        <v>580</v>
      </c>
      <c r="C101" s="594"/>
      <c r="E101" s="563">
        <f>'ETAPE 1'!$Z$123</f>
        <v>195.55545999999998</v>
      </c>
      <c r="F101" s="563">
        <f>'ETAPE 2'!$AH$123</f>
        <v>0.47099999999999997</v>
      </c>
      <c r="G101" s="563">
        <f>'ETAPE 3'!$AH$123</f>
        <v>0.94199999999999995</v>
      </c>
      <c r="H101" s="563">
        <f>'ETAPE 4'!$AH$123</f>
        <v>0.70917000000000008</v>
      </c>
      <c r="I101" s="563">
        <f>'ETAPE 5'!$AH$123</f>
        <v>0</v>
      </c>
      <c r="J101" s="563">
        <f>'ETAPE 6'!$AH$123</f>
        <v>0</v>
      </c>
      <c r="K101" s="564"/>
      <c r="L101" s="563">
        <f>SUM(E101:J101)</f>
        <v>197.67762999999999</v>
      </c>
    </row>
    <row r="102" spans="2:12" outlineLevel="1" x14ac:dyDescent="0.25">
      <c r="B102" s="595" t="s">
        <v>581</v>
      </c>
      <c r="C102" s="596" t="s">
        <v>534</v>
      </c>
      <c r="E102" s="563">
        <f>'ETAPE 1'!$Z$16</f>
        <v>194.15207999999998</v>
      </c>
      <c r="F102" s="558">
        <f>'ETAPE 2'!$AH$16</f>
        <v>0</v>
      </c>
      <c r="G102" s="558">
        <f>'ETAPE 3'!$AH$16</f>
        <v>0</v>
      </c>
      <c r="H102" s="558">
        <f>'ETAPE 4'!$AH$16</f>
        <v>0</v>
      </c>
      <c r="I102" s="558">
        <f>'ETAPE 5'!$AH$16</f>
        <v>0</v>
      </c>
      <c r="J102" s="558">
        <f>'ETAPE 6'!$AH$16</f>
        <v>0</v>
      </c>
      <c r="K102" s="564"/>
      <c r="L102" s="563">
        <f t="shared" ref="L102:L106" si="7">SUM(E102:J102)</f>
        <v>194.15207999999998</v>
      </c>
    </row>
    <row r="103" spans="2:12" outlineLevel="1" x14ac:dyDescent="0.25">
      <c r="B103" s="597"/>
      <c r="C103" s="596" t="s">
        <v>535</v>
      </c>
      <c r="E103" s="563">
        <f>'ETAPE 1'!$Z$31</f>
        <v>1.4033800000000001</v>
      </c>
      <c r="F103" s="563">
        <f>'ETAPE 2'!$AH$31</f>
        <v>0</v>
      </c>
      <c r="G103" s="563">
        <f>'ETAPE 3'!$AH$31</f>
        <v>0</v>
      </c>
      <c r="H103" s="563">
        <f>'ETAPE 4'!$AH$31</f>
        <v>0.23817000000000005</v>
      </c>
      <c r="I103" s="563">
        <f>'ETAPE 5'!$AH$31</f>
        <v>0</v>
      </c>
      <c r="J103" s="563">
        <f>'ETAPE 6'!$AH$31</f>
        <v>0</v>
      </c>
      <c r="K103" s="564"/>
      <c r="L103" s="563">
        <f t="shared" si="7"/>
        <v>1.6415500000000001</v>
      </c>
    </row>
    <row r="104" spans="2:12" outlineLevel="1" x14ac:dyDescent="0.25">
      <c r="B104" s="597"/>
      <c r="C104" s="596" t="s">
        <v>34</v>
      </c>
      <c r="E104" s="563">
        <f>'ETAPE 1'!$Z$46</f>
        <v>0</v>
      </c>
      <c r="F104" s="563">
        <f>'ETAPE 2'!$AH$46</f>
        <v>0.47099999999999997</v>
      </c>
      <c r="G104" s="563">
        <f>'ETAPE 3'!$AH$46</f>
        <v>0.94199999999999995</v>
      </c>
      <c r="H104" s="563">
        <f>'ETAPE 4'!$AH$46</f>
        <v>0.47099999999999997</v>
      </c>
      <c r="I104" s="563">
        <f>'ETAPE 5'!$AH$46</f>
        <v>0</v>
      </c>
      <c r="J104" s="563">
        <f>'ETAPE 6'!$AH$46</f>
        <v>0</v>
      </c>
      <c r="K104" s="564"/>
      <c r="L104" s="563">
        <f t="shared" si="7"/>
        <v>1.8839999999999999</v>
      </c>
    </row>
    <row r="105" spans="2:12" outlineLevel="1" x14ac:dyDescent="0.25">
      <c r="B105" s="597"/>
      <c r="C105" s="596" t="s">
        <v>35</v>
      </c>
      <c r="E105" s="563">
        <f>'ETAPE 1'!$Z$58</f>
        <v>0</v>
      </c>
      <c r="F105" s="563">
        <f>'ETAPE 2'!$AH$58</f>
        <v>0</v>
      </c>
      <c r="G105" s="563">
        <f>'ETAPE 3'!$AH$58</f>
        <v>0</v>
      </c>
      <c r="H105" s="563">
        <f>'ETAPE 4'!$AH$58</f>
        <v>0</v>
      </c>
      <c r="I105" s="563">
        <f>'ETAPE 5'!$AH$58</f>
        <v>0</v>
      </c>
      <c r="J105" s="563">
        <f>'ETAPE 6'!$AH$58</f>
        <v>0</v>
      </c>
      <c r="K105" s="564"/>
      <c r="L105" s="563">
        <f t="shared" si="7"/>
        <v>0</v>
      </c>
    </row>
    <row r="106" spans="2:12" outlineLevel="1" x14ac:dyDescent="0.25">
      <c r="B106" s="597"/>
      <c r="C106" s="596" t="s">
        <v>536</v>
      </c>
      <c r="E106" s="563">
        <f>'ETAPE 1'!$Z$70</f>
        <v>0</v>
      </c>
      <c r="F106" s="563">
        <f>'ETAPE 2'!$AH$70</f>
        <v>0</v>
      </c>
      <c r="G106" s="563">
        <f>'ETAPE 3'!$AH$70</f>
        <v>0</v>
      </c>
      <c r="H106" s="563">
        <f>'ETAPE 4'!$AH$70</f>
        <v>0</v>
      </c>
      <c r="I106" s="563">
        <f>'ETAPE 5'!$AH$70</f>
        <v>0</v>
      </c>
      <c r="J106" s="563">
        <f>'ETAPE 6'!$AH$70</f>
        <v>0</v>
      </c>
      <c r="K106" s="564"/>
      <c r="L106" s="563">
        <f t="shared" si="7"/>
        <v>0</v>
      </c>
    </row>
    <row r="107" spans="2:12" outlineLevel="1" x14ac:dyDescent="0.25">
      <c r="B107" s="598"/>
      <c r="C107" s="599" t="s">
        <v>541</v>
      </c>
      <c r="E107" s="588"/>
      <c r="F107" s="588"/>
      <c r="G107" s="588"/>
      <c r="H107" s="588"/>
      <c r="I107" s="588"/>
      <c r="J107" s="588"/>
      <c r="K107" s="564"/>
      <c r="L107" s="588"/>
    </row>
    <row r="108" spans="2:12" ht="6.75" customHeight="1" x14ac:dyDescent="0.25">
      <c r="E108" s="578"/>
      <c r="F108" s="578"/>
      <c r="G108" s="578"/>
      <c r="H108" s="578"/>
      <c r="I108" s="578"/>
      <c r="J108" s="578"/>
      <c r="K108" s="578"/>
      <c r="L108" s="578"/>
    </row>
    <row r="109" spans="2:12" x14ac:dyDescent="0.25">
      <c r="B109" s="593" t="s">
        <v>530</v>
      </c>
      <c r="C109" s="594"/>
      <c r="E109" s="600"/>
      <c r="F109" s="600"/>
      <c r="G109" s="600"/>
      <c r="H109" s="600"/>
      <c r="I109" s="600"/>
      <c r="J109" s="600"/>
      <c r="K109" s="578"/>
      <c r="L109" s="580">
        <f>IF(L22&lt;&gt;0,L101/L22,0)</f>
        <v>32.946271666666668</v>
      </c>
    </row>
    <row r="110" spans="2:12" ht="6.75" customHeight="1" x14ac:dyDescent="0.25">
      <c r="E110" s="578"/>
      <c r="F110" s="578"/>
      <c r="G110" s="578"/>
      <c r="H110" s="578"/>
      <c r="I110" s="578"/>
      <c r="J110" s="578"/>
      <c r="K110" s="342"/>
      <c r="L110" s="578"/>
    </row>
    <row r="111" spans="2:12" x14ac:dyDescent="0.25">
      <c r="B111" s="593" t="s">
        <v>509</v>
      </c>
      <c r="C111" s="594"/>
      <c r="E111" s="601">
        <f>'ETAPE 1'!$AE$123</f>
        <v>2.30172</v>
      </c>
      <c r="F111" s="601">
        <f>'ETAPE 2'!$AU$123</f>
        <v>4.1771236962381639</v>
      </c>
      <c r="G111" s="601">
        <f>'ETAPE 3'!$AU$123</f>
        <v>0</v>
      </c>
      <c r="H111" s="601">
        <f>'ETAPE 4'!$AU$123</f>
        <v>19.937166403336569</v>
      </c>
      <c r="I111" s="601">
        <f>'ETAPE 5'!$AU$123</f>
        <v>0</v>
      </c>
      <c r="J111" s="601">
        <f>'ETAPE 6'!$AU$123</f>
        <v>0</v>
      </c>
      <c r="K111" s="342"/>
      <c r="L111" s="601">
        <f>SUM(E111:J111)</f>
        <v>26.416010099574734</v>
      </c>
    </row>
    <row r="112" spans="2:12" outlineLevel="1" x14ac:dyDescent="0.25">
      <c r="B112" s="595" t="s">
        <v>542</v>
      </c>
      <c r="C112" s="596" t="s">
        <v>534</v>
      </c>
      <c r="E112" s="563">
        <f>'ETAPE 1'!$AE$16</f>
        <v>2.28294</v>
      </c>
      <c r="F112" s="563">
        <f>'ETAPE 2'!$AU$16</f>
        <v>4.1380826098303602</v>
      </c>
      <c r="G112" s="563">
        <f>'ETAPE 3'!$AU$16</f>
        <v>0</v>
      </c>
      <c r="H112" s="563">
        <f>'ETAPE 4'!$AU$16</f>
        <v>19.572345474820139</v>
      </c>
      <c r="I112" s="563">
        <f>'ETAPE 5'!$AU$16</f>
        <v>0</v>
      </c>
      <c r="J112" s="563">
        <f>'ETAPE 6'!$AU$16</f>
        <v>0</v>
      </c>
      <c r="K112" s="342"/>
      <c r="L112" s="563">
        <f>SUM(E112:J112)</f>
        <v>25.993368084650498</v>
      </c>
    </row>
    <row r="113" spans="2:12" outlineLevel="1" x14ac:dyDescent="0.25">
      <c r="B113" s="597"/>
      <c r="C113" s="596" t="s">
        <v>535</v>
      </c>
      <c r="E113" s="563">
        <f>'ETAPE 1'!$AE$31</f>
        <v>1.2800000000000001E-2</v>
      </c>
      <c r="F113" s="563">
        <f>'ETAPE 2'!$AU$31</f>
        <v>2.899056492411467E-2</v>
      </c>
      <c r="G113" s="563">
        <f>'ETAPE 3'!$AU$31</f>
        <v>0</v>
      </c>
      <c r="H113" s="563">
        <f>'ETAPE 4'!$AU$31</f>
        <v>0.1507348018549747</v>
      </c>
      <c r="I113" s="563">
        <f>'ETAPE 5'!$AU$31</f>
        <v>0</v>
      </c>
      <c r="J113" s="563">
        <f>'ETAPE 6'!$AU$31</f>
        <v>0</v>
      </c>
      <c r="K113" s="342"/>
      <c r="L113" s="563">
        <f t="shared" ref="L113:L117" si="8">SUM(E113:J113)</f>
        <v>0.19252536677908938</v>
      </c>
    </row>
    <row r="114" spans="2:12" outlineLevel="1" x14ac:dyDescent="0.25">
      <c r="B114" s="597"/>
      <c r="C114" s="596" t="s">
        <v>34</v>
      </c>
      <c r="E114" s="563">
        <f>'ETAPE 1'!$AE$46</f>
        <v>0</v>
      </c>
      <c r="F114" s="563">
        <f>'ETAPE 2'!$AU$46</f>
        <v>1.003871248368856E-2</v>
      </c>
      <c r="G114" s="563">
        <f>'ETAPE 3'!$AU$46</f>
        <v>0</v>
      </c>
      <c r="H114" s="563">
        <f>'ETAPE 4'!$AU$46</f>
        <v>0.20634177102645457</v>
      </c>
      <c r="I114" s="563">
        <f>'ETAPE 5'!$AU$46</f>
        <v>0</v>
      </c>
      <c r="J114" s="563">
        <f>'ETAPE 6'!$AU$46</f>
        <v>0</v>
      </c>
      <c r="K114" s="342"/>
      <c r="L114" s="563">
        <f t="shared" si="8"/>
        <v>0.21638048351014313</v>
      </c>
    </row>
    <row r="115" spans="2:12" outlineLevel="1" x14ac:dyDescent="0.25">
      <c r="B115" s="597"/>
      <c r="C115" s="596" t="s">
        <v>35</v>
      </c>
      <c r="E115" s="563">
        <f>'ETAPE 1'!$AE$58</f>
        <v>0</v>
      </c>
      <c r="F115" s="563">
        <f>'ETAPE 2'!$AU$58</f>
        <v>0</v>
      </c>
      <c r="G115" s="563">
        <f>'ETAPE 3'!$AU$58</f>
        <v>0</v>
      </c>
      <c r="H115" s="563">
        <f>'ETAPE 4'!$AU$58</f>
        <v>0</v>
      </c>
      <c r="I115" s="563">
        <f>'ETAPE 5'!$AU$58</f>
        <v>0</v>
      </c>
      <c r="J115" s="563">
        <f>'ETAPE 6'!$AU$58</f>
        <v>0</v>
      </c>
      <c r="K115" s="342"/>
      <c r="L115" s="563">
        <f t="shared" si="8"/>
        <v>0</v>
      </c>
    </row>
    <row r="116" spans="2:12" outlineLevel="1" x14ac:dyDescent="0.25">
      <c r="B116" s="597"/>
      <c r="C116" s="596" t="s">
        <v>536</v>
      </c>
      <c r="E116" s="563">
        <f>'ETAPE 1'!$AE$70</f>
        <v>0</v>
      </c>
      <c r="F116" s="563">
        <f>'ETAPE 2'!$AU$70</f>
        <v>0</v>
      </c>
      <c r="G116" s="563">
        <f>'ETAPE 3'!$AU$70</f>
        <v>0</v>
      </c>
      <c r="H116" s="563">
        <f>'ETAPE 4'!$AU$70</f>
        <v>0</v>
      </c>
      <c r="I116" s="563">
        <f>'ETAPE 5'!$AU$70</f>
        <v>0</v>
      </c>
      <c r="J116" s="563">
        <f>'ETAPE 6'!$AU$70</f>
        <v>0</v>
      </c>
      <c r="K116" s="342"/>
      <c r="L116" s="563">
        <f t="shared" si="8"/>
        <v>0</v>
      </c>
    </row>
    <row r="117" spans="2:12" outlineLevel="1" x14ac:dyDescent="0.25">
      <c r="B117" s="598"/>
      <c r="C117" s="599" t="s">
        <v>541</v>
      </c>
      <c r="E117" s="563">
        <f>'ETAPE 1'!$AE$112</f>
        <v>5.9800000000000001E-3</v>
      </c>
      <c r="F117" s="563">
        <f>'ETAPE 2'!$AU$112</f>
        <v>1.1809E-5</v>
      </c>
      <c r="G117" s="563">
        <f>'ETAPE 3'!$AU$112</f>
        <v>0</v>
      </c>
      <c r="H117" s="563">
        <f>'ETAPE 4'!$AU$112</f>
        <v>7.7443556349999993E-3</v>
      </c>
      <c r="I117" s="563">
        <f>'ETAPE 5'!$AU$112</f>
        <v>0</v>
      </c>
      <c r="J117" s="563">
        <f>'ETAPE 6'!$AU$112</f>
        <v>0</v>
      </c>
      <c r="K117" s="342"/>
      <c r="L117" s="563">
        <f t="shared" si="8"/>
        <v>1.3736164634999999E-2</v>
      </c>
    </row>
    <row r="118" spans="2:12" ht="6.75" customHeight="1" x14ac:dyDescent="0.25">
      <c r="E118" s="564"/>
      <c r="F118" s="564"/>
      <c r="G118" s="564"/>
      <c r="H118" s="564"/>
      <c r="I118" s="564"/>
      <c r="J118" s="564"/>
      <c r="K118" s="342"/>
      <c r="L118" s="564"/>
    </row>
    <row r="119" spans="2:12" x14ac:dyDescent="0.25">
      <c r="B119" s="593" t="s">
        <v>510</v>
      </c>
      <c r="C119" s="594"/>
      <c r="E119" s="602">
        <f>E111/7.5</f>
        <v>0.306896</v>
      </c>
      <c r="F119" s="602">
        <f t="shared" ref="F119:L119" si="9">F111/7.5</f>
        <v>0.55694982616508848</v>
      </c>
      <c r="G119" s="602">
        <f t="shared" si="9"/>
        <v>0</v>
      </c>
      <c r="H119" s="602">
        <f t="shared" si="9"/>
        <v>2.6582888537782092</v>
      </c>
      <c r="I119" s="602">
        <f t="shared" si="9"/>
        <v>0</v>
      </c>
      <c r="J119" s="602">
        <f t="shared" si="9"/>
        <v>0</v>
      </c>
      <c r="K119" s="342"/>
      <c r="L119" s="602">
        <f t="shared" si="9"/>
        <v>3.522134679943298</v>
      </c>
    </row>
  </sheetData>
  <sheetProtection algorithmName="SHA-512" hashValue="6LLBaVEYa6KdhVxUIxGeYK7LX2aDrfb4/EI+CzaGs7RZBqGiQ8MmC6n8Q14ShTP/EP4dhr6NNoSw65k/Gwc3ww==" saltValue="UdpGZsNWuUGKBnaWz8yBQQ==" spinCount="100000" sheet="1" objects="1" scenarios="1"/>
  <mergeCells count="28">
    <mergeCell ref="O22:Q30"/>
    <mergeCell ref="B1:G1"/>
    <mergeCell ref="B13:B20"/>
    <mergeCell ref="B4:L4"/>
    <mergeCell ref="B42:C42"/>
    <mergeCell ref="B8:C8"/>
    <mergeCell ref="B43:B50"/>
    <mergeCell ref="B12:C12"/>
    <mergeCell ref="B22:C22"/>
    <mergeCell ref="B32:C32"/>
    <mergeCell ref="B23:B30"/>
    <mergeCell ref="B33:B40"/>
    <mergeCell ref="B53:B60"/>
    <mergeCell ref="B52:C52"/>
    <mergeCell ref="B73:C73"/>
    <mergeCell ref="B84:C84"/>
    <mergeCell ref="B66:B69"/>
    <mergeCell ref="B62:B65"/>
    <mergeCell ref="B86:C86"/>
    <mergeCell ref="B97:C97"/>
    <mergeCell ref="B74:B82"/>
    <mergeCell ref="B87:B95"/>
    <mergeCell ref="B102:B107"/>
    <mergeCell ref="B112:B117"/>
    <mergeCell ref="B101:C101"/>
    <mergeCell ref="B109:C109"/>
    <mergeCell ref="B111:C111"/>
    <mergeCell ref="B119:C119"/>
  </mergeCells>
  <hyperlinks>
    <hyperlink ref="O22:Q30" location="'Aide données'!A1" display="Cette colonne (L22:L30) est la seule de la synthèse à devoir être remplie manuellement. Il s'agit ici de calculer le poids de sortie théorique en prenant en compte le cas échéant un coefficient de déshydratation. Cf l'onglet &quot;aide données&quot;"/>
  </hyperlinks>
  <pageMargins left="0.7" right="0.7" top="0.75" bottom="0.75" header="0.3" footer="0.3"/>
  <pageSetup paperSize="9" orientation="portrait" verticalDpi="0" r:id="rId1"/>
  <ignoredErrors>
    <ignoredError sqref="K97 L21 K66 K67:K69 L31 K44:K50 K63:K65 K43 K62" evalError="1"/>
    <ignoredError sqref="F117" evalError="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Annexes!$B$7:$B$12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80"/>
  <sheetViews>
    <sheetView showGridLines="0" zoomScaleNormal="100" workbookViewId="0"/>
  </sheetViews>
  <sheetFormatPr baseColWidth="10" defaultRowHeight="15" x14ac:dyDescent="0.25"/>
  <cols>
    <col min="1" max="1" width="4.7109375" customWidth="1"/>
    <col min="2" max="2" width="1.42578125" customWidth="1"/>
    <col min="3" max="3" width="15.28515625" customWidth="1"/>
    <col min="4" max="4" width="13.7109375" customWidth="1"/>
    <col min="5" max="5" width="8.7109375" customWidth="1"/>
    <col min="6" max="6" width="5" customWidth="1"/>
    <col min="7" max="7" width="5.7109375" customWidth="1"/>
    <col min="8" max="8" width="9.140625" customWidth="1"/>
    <col min="9" max="9" width="3.5703125" customWidth="1"/>
    <col min="10" max="10" width="17.85546875" customWidth="1"/>
    <col min="11" max="11" width="8" customWidth="1"/>
    <col min="12" max="12" width="8.42578125" customWidth="1"/>
    <col min="13" max="13" width="4.85546875" customWidth="1"/>
    <col min="14" max="14" width="7.28515625" customWidth="1"/>
    <col min="15" max="15" width="5.42578125" customWidth="1"/>
    <col min="16" max="16" width="2.5703125" customWidth="1"/>
    <col min="17" max="17" width="8.7109375" customWidth="1"/>
    <col min="18" max="18" width="2.5703125" bestFit="1" customWidth="1"/>
    <col min="19" max="19" width="17.140625" customWidth="1"/>
    <col min="20" max="20" width="1.42578125" customWidth="1"/>
  </cols>
  <sheetData>
    <row r="1" spans="1:22" ht="24" thickBot="1" x14ac:dyDescent="0.4">
      <c r="A1" s="46"/>
      <c r="B1" s="3"/>
      <c r="C1" s="178" t="s">
        <v>770</v>
      </c>
      <c r="D1" s="179"/>
      <c r="E1" s="179"/>
      <c r="F1" s="179"/>
      <c r="G1" s="179"/>
      <c r="H1" s="180"/>
    </row>
    <row r="2" spans="1:22" x14ac:dyDescent="0.25">
      <c r="A2" s="3"/>
      <c r="B2" s="3"/>
      <c r="C2" s="3"/>
    </row>
    <row r="3" spans="1:22" x14ac:dyDescent="0.25">
      <c r="B3" s="3"/>
    </row>
    <row r="4" spans="1:22" x14ac:dyDescent="0.25">
      <c r="B4" s="3"/>
    </row>
    <row r="5" spans="1:22" ht="15.75" thickBot="1" x14ac:dyDescent="0.3"/>
    <row r="6" spans="1:22" s="4" customFormat="1" ht="40.5" customHeight="1" thickBot="1" x14ac:dyDescent="0.3">
      <c r="B6" s="9"/>
      <c r="C6" s="38" t="s">
        <v>629</v>
      </c>
      <c r="D6" s="39"/>
      <c r="E6" s="39"/>
      <c r="F6" s="39"/>
      <c r="G6" s="39"/>
      <c r="H6" s="39"/>
      <c r="I6" s="39"/>
      <c r="J6" s="39"/>
      <c r="K6" s="39"/>
      <c r="L6" s="39"/>
      <c r="M6" s="39"/>
      <c r="N6" s="39"/>
      <c r="O6" s="39"/>
      <c r="P6" s="39"/>
      <c r="Q6" s="202" t="str">
        <f>GENERALITES!$C5</f>
        <v>tomate séchée</v>
      </c>
      <c r="R6" s="203"/>
      <c r="S6" s="204"/>
      <c r="T6" s="9"/>
      <c r="V6" s="6"/>
    </row>
    <row r="7" spans="1:22" ht="7.5" customHeight="1" x14ac:dyDescent="0.25">
      <c r="B7" s="8"/>
      <c r="C7" s="8"/>
      <c r="D7" s="8"/>
      <c r="E7" s="8"/>
      <c r="F7" s="8"/>
      <c r="G7" s="8"/>
      <c r="H7" s="8"/>
      <c r="I7" s="8"/>
      <c r="J7" s="8"/>
      <c r="K7" s="8"/>
      <c r="L7" s="8"/>
      <c r="M7" s="8"/>
      <c r="N7" s="8"/>
      <c r="O7" s="8"/>
      <c r="P7" s="8"/>
      <c r="Q7" s="8"/>
      <c r="R7" s="8"/>
      <c r="S7" s="8"/>
      <c r="T7" s="8"/>
    </row>
    <row r="8" spans="1:22" ht="15" customHeight="1" x14ac:dyDescent="0.25">
      <c r="B8" s="8"/>
      <c r="C8" s="218" t="s">
        <v>585</v>
      </c>
      <c r="D8" s="219"/>
      <c r="E8" s="21">
        <f>'SYNTHESE EXCEL'!$L$12</f>
        <v>23.720000000000002</v>
      </c>
      <c r="F8" s="10" t="s">
        <v>1</v>
      </c>
      <c r="H8" s="198" t="s">
        <v>582</v>
      </c>
      <c r="I8" s="199"/>
      <c r="J8" s="199"/>
      <c r="K8" s="34">
        <f>'SYNTHESE EXCEL'!L42</f>
        <v>1.1602999999999999</v>
      </c>
      <c r="L8" s="35" t="s">
        <v>1</v>
      </c>
      <c r="N8" s="222" t="s">
        <v>544</v>
      </c>
      <c r="O8" s="223"/>
      <c r="P8" s="223"/>
      <c r="Q8" s="25">
        <f>'SYNTHESE EXCEL'!L66</f>
        <v>25.256247352816608</v>
      </c>
      <c r="R8" s="26" t="s">
        <v>2</v>
      </c>
      <c r="S8" s="27" t="str">
        <f>'SYNTHESE EXCEL'!$C$66</f>
        <v>DIB</v>
      </c>
      <c r="T8" s="8"/>
    </row>
    <row r="9" spans="1:22" x14ac:dyDescent="0.25">
      <c r="B9" s="8"/>
      <c r="C9" s="220" t="s">
        <v>587</v>
      </c>
      <c r="D9" s="221"/>
      <c r="E9" s="22">
        <f>'SYNTHESE EXCEL'!L22</f>
        <v>6</v>
      </c>
      <c r="F9" s="19" t="s">
        <v>1</v>
      </c>
      <c r="H9" s="196" t="s">
        <v>543</v>
      </c>
      <c r="I9" s="197"/>
      <c r="J9" s="197"/>
      <c r="K9" s="36">
        <f>'SYNTHESE EXCEL'!L52</f>
        <v>16.674999999999997</v>
      </c>
      <c r="L9" s="37" t="s">
        <v>2</v>
      </c>
      <c r="N9" s="224"/>
      <c r="O9" s="225"/>
      <c r="P9" s="225"/>
      <c r="Q9" s="28">
        <f>'SYNTHESE EXCEL'!L67</f>
        <v>74.743752647183399</v>
      </c>
      <c r="R9" s="29" t="s">
        <v>2</v>
      </c>
      <c r="S9" s="30" t="str">
        <f>'SYNTHESE EXCEL'!$C$67</f>
        <v>méthanisation</v>
      </c>
      <c r="T9" s="8"/>
    </row>
    <row r="10" spans="1:22" x14ac:dyDescent="0.25">
      <c r="B10" s="8"/>
      <c r="C10" s="194" t="s">
        <v>586</v>
      </c>
      <c r="D10" s="195"/>
      <c r="E10" s="23">
        <f>'SYNTHESE EXCEL'!$L$32</f>
        <v>4.9995000000000003</v>
      </c>
      <c r="F10" s="11" t="s">
        <v>1</v>
      </c>
      <c r="G10" s="8"/>
      <c r="H10" s="24" t="s">
        <v>660</v>
      </c>
      <c r="I10" s="8"/>
      <c r="J10" s="8"/>
      <c r="K10" s="8"/>
      <c r="L10" s="8"/>
      <c r="M10" s="8"/>
      <c r="N10" s="224"/>
      <c r="O10" s="225"/>
      <c r="P10" s="225"/>
      <c r="Q10" s="28">
        <f>'SYNTHESE EXCEL'!L68</f>
        <v>0</v>
      </c>
      <c r="R10" s="29" t="s">
        <v>2</v>
      </c>
      <c r="S10" s="30">
        <f>'SYNTHESE EXCEL'!$C$68</f>
        <v>0</v>
      </c>
      <c r="T10" s="8"/>
    </row>
    <row r="11" spans="1:22" x14ac:dyDescent="0.25">
      <c r="B11" s="8"/>
      <c r="C11" s="8"/>
      <c r="D11" s="8"/>
      <c r="E11" s="8"/>
      <c r="F11" s="8"/>
      <c r="G11" s="8"/>
      <c r="H11" s="8"/>
      <c r="I11" s="8"/>
      <c r="J11" s="8"/>
      <c r="K11" s="8"/>
      <c r="L11" s="8"/>
      <c r="M11" s="8"/>
      <c r="N11" s="226"/>
      <c r="O11" s="227"/>
      <c r="P11" s="227"/>
      <c r="Q11" s="31"/>
      <c r="R11" s="32"/>
      <c r="S11" s="33"/>
      <c r="T11" s="8"/>
    </row>
    <row r="12" spans="1:22" ht="15.75" x14ac:dyDescent="0.25">
      <c r="B12" s="8"/>
      <c r="C12" s="20" t="s">
        <v>592</v>
      </c>
      <c r="D12" s="8"/>
      <c r="E12" s="8"/>
      <c r="F12" s="8"/>
      <c r="G12" s="8"/>
      <c r="H12" s="8"/>
      <c r="I12" s="20" t="s">
        <v>591</v>
      </c>
      <c r="J12" s="8"/>
      <c r="K12" s="8"/>
      <c r="L12" s="8"/>
      <c r="M12" s="8"/>
      <c r="N12" s="8"/>
      <c r="O12" s="8"/>
      <c r="P12" s="8"/>
      <c r="Q12" s="8"/>
      <c r="R12" s="8"/>
      <c r="S12" s="8"/>
      <c r="T12" s="8"/>
    </row>
    <row r="13" spans="1:22" ht="15" customHeight="1" x14ac:dyDescent="0.25">
      <c r="B13" s="8"/>
      <c r="C13" s="8"/>
      <c r="D13" s="8"/>
      <c r="E13" s="8"/>
      <c r="F13" s="8"/>
      <c r="G13" s="8"/>
      <c r="H13" s="8"/>
      <c r="I13" s="8"/>
      <c r="J13" s="8"/>
      <c r="K13" s="8"/>
      <c r="L13" s="8"/>
      <c r="M13" s="8"/>
      <c r="N13" s="8"/>
      <c r="O13" s="8"/>
      <c r="P13" s="8"/>
      <c r="Q13" s="200"/>
      <c r="R13" s="201"/>
      <c r="S13" s="201"/>
      <c r="T13" s="8"/>
    </row>
    <row r="14" spans="1:22" x14ac:dyDescent="0.25">
      <c r="B14" s="8"/>
      <c r="C14" s="8"/>
      <c r="D14" s="8"/>
      <c r="E14" s="8"/>
      <c r="F14" s="8"/>
      <c r="G14" s="8"/>
      <c r="H14" s="8"/>
      <c r="I14" s="8"/>
      <c r="J14" s="8"/>
      <c r="K14" s="8"/>
      <c r="L14" s="8"/>
      <c r="M14" s="8"/>
      <c r="N14" s="8"/>
      <c r="O14" s="8"/>
      <c r="P14" s="8"/>
      <c r="Q14" s="201"/>
      <c r="R14" s="201"/>
      <c r="S14" s="201"/>
      <c r="T14" s="8"/>
    </row>
    <row r="15" spans="1:22" x14ac:dyDescent="0.25">
      <c r="B15" s="8"/>
      <c r="C15" s="8"/>
      <c r="D15" s="8"/>
      <c r="E15" s="8"/>
      <c r="F15" s="8"/>
      <c r="G15" s="8"/>
      <c r="H15" s="8"/>
      <c r="I15" s="8"/>
      <c r="J15" s="8"/>
      <c r="K15" s="8"/>
      <c r="L15" s="8"/>
      <c r="M15" s="8"/>
      <c r="N15" s="8"/>
      <c r="O15" s="8"/>
      <c r="P15" s="8"/>
      <c r="Q15" s="201"/>
      <c r="R15" s="201"/>
      <c r="S15" s="201"/>
      <c r="T15" s="8"/>
    </row>
    <row r="16" spans="1:22" x14ac:dyDescent="0.25">
      <c r="B16" s="8"/>
      <c r="C16" s="8"/>
      <c r="D16" s="8"/>
      <c r="E16" s="8"/>
      <c r="F16" s="8"/>
      <c r="G16" s="8"/>
      <c r="H16" s="8"/>
      <c r="I16" s="8"/>
      <c r="J16" s="8"/>
      <c r="K16" s="8"/>
      <c r="L16" s="8"/>
      <c r="M16" s="8"/>
      <c r="N16" s="8"/>
      <c r="O16" s="8"/>
      <c r="P16" s="8"/>
      <c r="Q16" s="201"/>
      <c r="R16" s="201"/>
      <c r="S16" s="201"/>
      <c r="T16" s="8"/>
    </row>
    <row r="17" spans="2:20" x14ac:dyDescent="0.25">
      <c r="B17" s="8"/>
      <c r="C17" s="8"/>
      <c r="D17" s="8"/>
      <c r="E17" s="8"/>
      <c r="F17" s="8"/>
      <c r="G17" s="8"/>
      <c r="H17" s="8"/>
      <c r="I17" s="8"/>
      <c r="J17" s="8"/>
      <c r="K17" s="8"/>
      <c r="L17" s="8"/>
      <c r="M17" s="8"/>
      <c r="N17" s="8"/>
      <c r="O17" s="8"/>
      <c r="P17" s="8"/>
      <c r="Q17" s="201"/>
      <c r="R17" s="201"/>
      <c r="S17" s="201"/>
      <c r="T17" s="8"/>
    </row>
    <row r="18" spans="2:20" x14ac:dyDescent="0.25">
      <c r="B18" s="8"/>
      <c r="C18" s="8"/>
      <c r="D18" s="8"/>
      <c r="E18" s="8"/>
      <c r="F18" s="8"/>
      <c r="G18" s="8"/>
      <c r="H18" s="8"/>
      <c r="I18" s="8"/>
      <c r="J18" s="8"/>
      <c r="K18" s="8"/>
      <c r="L18" s="8"/>
      <c r="M18" s="8"/>
      <c r="N18" s="8"/>
      <c r="O18" s="8"/>
      <c r="P18" s="8"/>
      <c r="Q18" s="201"/>
      <c r="R18" s="201"/>
      <c r="S18" s="201"/>
      <c r="T18" s="8"/>
    </row>
    <row r="19" spans="2:20" x14ac:dyDescent="0.25">
      <c r="B19" s="8"/>
      <c r="C19" s="8"/>
      <c r="D19" s="8"/>
      <c r="E19" s="8"/>
      <c r="F19" s="8"/>
      <c r="G19" s="8"/>
      <c r="H19" s="8"/>
      <c r="I19" s="8"/>
      <c r="J19" s="8"/>
      <c r="K19" s="8"/>
      <c r="L19" s="8"/>
      <c r="M19" s="8"/>
      <c r="N19" s="8"/>
      <c r="O19" s="8"/>
      <c r="P19" s="8"/>
      <c r="Q19" s="201"/>
      <c r="R19" s="201"/>
      <c r="S19" s="201"/>
      <c r="T19" s="8"/>
    </row>
    <row r="20" spans="2:20" x14ac:dyDescent="0.25">
      <c r="B20" s="8"/>
      <c r="C20" s="8"/>
      <c r="D20" s="8"/>
      <c r="E20" s="8"/>
      <c r="F20" s="8"/>
      <c r="G20" s="8"/>
      <c r="H20" s="8"/>
      <c r="I20" s="8"/>
      <c r="J20" s="8"/>
      <c r="K20" s="8"/>
      <c r="L20" s="8"/>
      <c r="M20" s="8"/>
      <c r="N20" s="8"/>
      <c r="O20" s="8"/>
      <c r="P20" s="8"/>
      <c r="Q20" s="201"/>
      <c r="R20" s="201"/>
      <c r="S20" s="201"/>
      <c r="T20" s="8"/>
    </row>
    <row r="21" spans="2:20" x14ac:dyDescent="0.25">
      <c r="B21" s="8"/>
      <c r="C21" s="8"/>
      <c r="D21" s="8"/>
      <c r="E21" s="8"/>
      <c r="F21" s="8"/>
      <c r="G21" s="8"/>
      <c r="H21" s="8"/>
      <c r="I21" s="8"/>
      <c r="J21" s="8"/>
      <c r="K21" s="8"/>
      <c r="L21" s="8"/>
      <c r="M21" s="8"/>
      <c r="N21" s="8"/>
      <c r="O21" s="8"/>
      <c r="P21" s="8"/>
      <c r="Q21" s="201"/>
      <c r="R21" s="201"/>
      <c r="S21" s="201"/>
      <c r="T21" s="8"/>
    </row>
    <row r="22" spans="2:20" x14ac:dyDescent="0.25">
      <c r="B22" s="8"/>
      <c r="C22" s="8"/>
      <c r="D22" s="8"/>
      <c r="E22" s="8"/>
      <c r="F22" s="8"/>
      <c r="G22" s="8"/>
      <c r="H22" s="8"/>
      <c r="I22" s="8"/>
      <c r="J22" s="8"/>
      <c r="K22" s="8"/>
      <c r="L22" s="8"/>
      <c r="M22" s="8"/>
      <c r="N22" s="8"/>
      <c r="O22" s="8"/>
      <c r="P22" s="8"/>
      <c r="Q22" s="201"/>
      <c r="R22" s="201"/>
      <c r="S22" s="201"/>
      <c r="T22" s="8"/>
    </row>
    <row r="23" spans="2:20" x14ac:dyDescent="0.25">
      <c r="B23" s="8"/>
      <c r="C23" s="8"/>
      <c r="D23" s="8"/>
      <c r="E23" s="8"/>
      <c r="F23" s="8"/>
      <c r="G23" s="8"/>
      <c r="H23" s="8"/>
      <c r="I23" s="8"/>
      <c r="J23" s="8"/>
      <c r="K23" s="8"/>
      <c r="L23" s="8"/>
      <c r="M23" s="8"/>
      <c r="N23" s="8"/>
      <c r="O23" s="8"/>
      <c r="P23" s="8"/>
      <c r="Q23" s="201"/>
      <c r="R23" s="201"/>
      <c r="S23" s="201"/>
      <c r="T23" s="8"/>
    </row>
    <row r="24" spans="2:20" x14ac:dyDescent="0.25">
      <c r="B24" s="8"/>
      <c r="C24" s="8"/>
      <c r="D24" s="8"/>
      <c r="E24" s="8"/>
      <c r="F24" s="8"/>
      <c r="G24" s="8"/>
      <c r="H24" s="8"/>
      <c r="I24" s="8"/>
      <c r="J24" s="8"/>
      <c r="K24" s="8"/>
      <c r="L24" s="8"/>
      <c r="M24" s="8"/>
      <c r="N24" s="8"/>
      <c r="O24" s="8"/>
      <c r="P24" s="8"/>
      <c r="Q24" s="201"/>
      <c r="R24" s="201"/>
      <c r="S24" s="201"/>
      <c r="T24" s="8"/>
    </row>
    <row r="25" spans="2:20" ht="9.75" customHeight="1" x14ac:dyDescent="0.25">
      <c r="B25" s="8"/>
      <c r="C25" s="8"/>
      <c r="D25" s="8"/>
      <c r="E25" s="8"/>
      <c r="F25" s="8"/>
      <c r="G25" s="8"/>
      <c r="H25" s="8"/>
      <c r="I25" s="8"/>
      <c r="J25" s="8"/>
      <c r="K25" s="8"/>
      <c r="L25" s="8"/>
      <c r="M25" s="8"/>
      <c r="N25" s="8"/>
      <c r="O25" s="8"/>
      <c r="P25" s="8"/>
      <c r="Q25" s="201"/>
      <c r="R25" s="201"/>
      <c r="S25" s="201"/>
      <c r="T25" s="8"/>
    </row>
    <row r="26" spans="2:20" ht="17.25" customHeight="1" x14ac:dyDescent="0.25">
      <c r="B26" s="8"/>
      <c r="C26" s="20" t="s">
        <v>593</v>
      </c>
      <c r="D26" s="8"/>
      <c r="E26" s="8"/>
      <c r="F26" s="8"/>
      <c r="G26" s="8"/>
      <c r="H26" s="8"/>
      <c r="I26" s="20" t="s">
        <v>594</v>
      </c>
      <c r="J26" s="8"/>
      <c r="K26" s="8"/>
      <c r="L26" s="8"/>
      <c r="M26" s="8"/>
      <c r="N26" s="8"/>
      <c r="O26" s="8"/>
      <c r="P26" s="8"/>
      <c r="Q26" s="201"/>
      <c r="R26" s="201"/>
      <c r="S26" s="201"/>
      <c r="T26" s="8"/>
    </row>
    <row r="27" spans="2:20" x14ac:dyDescent="0.25">
      <c r="B27" s="8"/>
      <c r="C27" s="8"/>
      <c r="D27" s="8"/>
      <c r="E27" s="8"/>
      <c r="F27" s="8"/>
      <c r="G27" s="8"/>
      <c r="H27" s="8"/>
      <c r="I27" s="8"/>
      <c r="J27" s="8"/>
      <c r="K27" s="8"/>
      <c r="L27" s="8"/>
      <c r="M27" s="8"/>
      <c r="N27" s="8"/>
      <c r="O27" s="8"/>
      <c r="P27" s="8"/>
      <c r="Q27" s="201"/>
      <c r="R27" s="201"/>
      <c r="S27" s="201"/>
      <c r="T27" s="8"/>
    </row>
    <row r="28" spans="2:20" x14ac:dyDescent="0.25">
      <c r="B28" s="8"/>
      <c r="C28" s="8"/>
      <c r="D28" s="8"/>
      <c r="E28" s="8"/>
      <c r="F28" s="8"/>
      <c r="G28" s="8"/>
      <c r="H28" s="8"/>
      <c r="I28" s="8"/>
      <c r="J28" s="8"/>
      <c r="K28" s="8"/>
      <c r="L28" s="8"/>
      <c r="M28" s="8"/>
      <c r="N28" s="8"/>
      <c r="O28" s="8"/>
      <c r="P28" s="8"/>
      <c r="Q28" s="201"/>
      <c r="R28" s="201"/>
      <c r="S28" s="201"/>
      <c r="T28" s="8"/>
    </row>
    <row r="29" spans="2:20" x14ac:dyDescent="0.25">
      <c r="B29" s="8"/>
      <c r="C29" s="8"/>
      <c r="D29" s="8"/>
      <c r="E29" s="8"/>
      <c r="F29" s="8"/>
      <c r="G29" s="8"/>
      <c r="H29" s="8"/>
      <c r="I29" s="8"/>
      <c r="J29" s="8"/>
      <c r="K29" s="8"/>
      <c r="L29" s="8"/>
      <c r="M29" s="8"/>
      <c r="N29" s="8"/>
      <c r="O29" s="8"/>
      <c r="P29" s="8"/>
      <c r="Q29" s="201"/>
      <c r="R29" s="201"/>
      <c r="S29" s="201"/>
      <c r="T29" s="8"/>
    </row>
    <row r="30" spans="2:20" x14ac:dyDescent="0.25">
      <c r="B30" s="8"/>
      <c r="C30" s="8"/>
      <c r="D30" s="8"/>
      <c r="E30" s="8"/>
      <c r="F30" s="8"/>
      <c r="G30" s="8"/>
      <c r="H30" s="8"/>
      <c r="I30" s="8"/>
      <c r="J30" s="8"/>
      <c r="K30" s="8"/>
      <c r="L30" s="8"/>
      <c r="M30" s="8"/>
      <c r="N30" s="8"/>
      <c r="O30" s="8"/>
      <c r="P30" s="8"/>
      <c r="Q30" s="201"/>
      <c r="R30" s="201"/>
      <c r="S30" s="201"/>
      <c r="T30" s="8"/>
    </row>
    <row r="31" spans="2:20" x14ac:dyDescent="0.25">
      <c r="B31" s="8"/>
      <c r="C31" s="8"/>
      <c r="D31" s="8"/>
      <c r="E31" s="8"/>
      <c r="F31" s="8"/>
      <c r="G31" s="8"/>
      <c r="H31" s="8"/>
      <c r="I31" s="8"/>
      <c r="J31" s="8"/>
      <c r="K31" s="8"/>
      <c r="L31" s="8"/>
      <c r="M31" s="8"/>
      <c r="N31" s="8"/>
      <c r="O31" s="8"/>
      <c r="P31" s="8"/>
      <c r="Q31" s="201"/>
      <c r="R31" s="201"/>
      <c r="S31" s="201"/>
      <c r="T31" s="8"/>
    </row>
    <row r="32" spans="2:20" x14ac:dyDescent="0.25">
      <c r="B32" s="8"/>
      <c r="C32" s="8"/>
      <c r="D32" s="8"/>
      <c r="E32" s="8"/>
      <c r="F32" s="8"/>
      <c r="G32" s="8"/>
      <c r="H32" s="8"/>
      <c r="I32" s="8"/>
      <c r="J32" s="8"/>
      <c r="K32" s="8"/>
      <c r="L32" s="8"/>
      <c r="M32" s="8"/>
      <c r="N32" s="8"/>
      <c r="O32" s="8"/>
      <c r="P32" s="8"/>
      <c r="Q32" s="201"/>
      <c r="R32" s="201"/>
      <c r="S32" s="201"/>
      <c r="T32" s="8"/>
    </row>
    <row r="33" spans="1:22" x14ac:dyDescent="0.25">
      <c r="B33" s="8"/>
      <c r="C33" s="8"/>
      <c r="D33" s="8"/>
      <c r="E33" s="8"/>
      <c r="F33" s="8"/>
      <c r="G33" s="8"/>
      <c r="H33" s="8"/>
      <c r="I33" s="8"/>
      <c r="J33" s="8"/>
      <c r="K33" s="8"/>
      <c r="L33" s="8"/>
      <c r="M33" s="8"/>
      <c r="N33" s="8"/>
      <c r="O33" s="8"/>
      <c r="P33" s="8"/>
      <c r="Q33" s="201"/>
      <c r="R33" s="201"/>
      <c r="S33" s="201"/>
      <c r="T33" s="8"/>
    </row>
    <row r="34" spans="1:22" x14ac:dyDescent="0.25">
      <c r="B34" s="8"/>
      <c r="C34" s="8"/>
      <c r="D34" s="8"/>
      <c r="E34" s="8"/>
      <c r="F34" s="8"/>
      <c r="G34" s="8"/>
      <c r="H34" s="8"/>
      <c r="I34" s="8"/>
      <c r="J34" s="8"/>
      <c r="K34" s="8"/>
      <c r="L34" s="8"/>
      <c r="M34" s="8"/>
      <c r="N34" s="8"/>
      <c r="O34" s="8"/>
      <c r="P34" s="8"/>
      <c r="Q34" s="201"/>
      <c r="R34" s="201"/>
      <c r="S34" s="201"/>
      <c r="T34" s="8"/>
    </row>
    <row r="35" spans="1:22" x14ac:dyDescent="0.25">
      <c r="B35" s="8"/>
      <c r="C35" s="8"/>
      <c r="D35" s="8"/>
      <c r="E35" s="8"/>
      <c r="F35" s="8"/>
      <c r="G35" s="8"/>
      <c r="H35" s="8"/>
      <c r="I35" s="8"/>
      <c r="J35" s="8"/>
      <c r="K35" s="8"/>
      <c r="L35" s="8"/>
      <c r="M35" s="8"/>
      <c r="N35" s="8"/>
      <c r="O35" s="8"/>
      <c r="P35" s="8"/>
      <c r="Q35" s="201"/>
      <c r="R35" s="201"/>
      <c r="S35" s="201"/>
      <c r="T35" s="8"/>
    </row>
    <row r="36" spans="1:22" x14ac:dyDescent="0.25">
      <c r="B36" s="8"/>
      <c r="C36" s="8"/>
      <c r="D36" s="8"/>
      <c r="E36" s="8"/>
      <c r="F36" s="8"/>
      <c r="G36" s="8"/>
      <c r="H36" s="8"/>
      <c r="I36" s="8"/>
      <c r="J36" s="8"/>
      <c r="K36" s="8"/>
      <c r="L36" s="8"/>
      <c r="M36" s="8"/>
      <c r="N36" s="8"/>
      <c r="O36" s="8"/>
      <c r="P36" s="8"/>
      <c r="Q36" s="201"/>
      <c r="R36" s="201"/>
      <c r="S36" s="201"/>
      <c r="T36" s="8"/>
    </row>
    <row r="37" spans="1:22" x14ac:dyDescent="0.25">
      <c r="B37" s="8"/>
      <c r="C37" s="8"/>
      <c r="D37" s="8"/>
      <c r="E37" s="8"/>
      <c r="F37" s="8"/>
      <c r="G37" s="8"/>
      <c r="H37" s="8"/>
      <c r="I37" s="8"/>
      <c r="J37" s="8"/>
      <c r="K37" s="8"/>
      <c r="L37" s="8"/>
      <c r="M37" s="8"/>
      <c r="N37" s="8"/>
      <c r="O37" s="8"/>
      <c r="P37" s="8"/>
      <c r="Q37" s="201"/>
      <c r="R37" s="201"/>
      <c r="S37" s="201"/>
      <c r="T37" s="8"/>
    </row>
    <row r="38" spans="1:22" x14ac:dyDescent="0.25">
      <c r="B38" s="8"/>
      <c r="C38" s="8"/>
      <c r="D38" s="8"/>
      <c r="E38" s="8"/>
      <c r="F38" s="8"/>
      <c r="G38" s="8"/>
      <c r="H38" s="8"/>
      <c r="I38" s="8"/>
      <c r="J38" s="8"/>
      <c r="K38" s="8"/>
      <c r="L38" s="8"/>
      <c r="M38" s="8"/>
      <c r="N38" s="8"/>
      <c r="O38" s="8"/>
      <c r="P38" s="8"/>
      <c r="Q38" s="201"/>
      <c r="R38" s="201"/>
      <c r="S38" s="201"/>
      <c r="T38" s="8"/>
    </row>
    <row r="39" spans="1:22" ht="13.5" customHeight="1" x14ac:dyDescent="0.25">
      <c r="B39" s="8"/>
      <c r="C39" s="24" t="s">
        <v>599</v>
      </c>
      <c r="D39" s="8"/>
      <c r="E39" s="8"/>
      <c r="F39" s="8"/>
      <c r="G39" s="8"/>
      <c r="H39" s="8"/>
      <c r="I39" s="8"/>
      <c r="J39" s="8"/>
      <c r="K39" s="8"/>
      <c r="L39" s="8"/>
      <c r="M39" s="8"/>
      <c r="N39" s="8"/>
      <c r="O39" s="8"/>
      <c r="P39" s="8"/>
      <c r="Q39" s="8"/>
      <c r="R39" s="8"/>
      <c r="S39" s="8"/>
      <c r="T39" s="8"/>
    </row>
    <row r="40" spans="1:22" ht="15.75" thickBot="1" x14ac:dyDescent="0.3">
      <c r="A40" t="s">
        <v>40</v>
      </c>
    </row>
    <row r="41" spans="1:22" s="4" customFormat="1" ht="40.5" customHeight="1" thickBot="1" x14ac:dyDescent="0.3">
      <c r="B41" s="9"/>
      <c r="C41" s="40" t="s">
        <v>630</v>
      </c>
      <c r="D41" s="41"/>
      <c r="E41" s="41"/>
      <c r="F41" s="41"/>
      <c r="G41" s="41"/>
      <c r="H41" s="41"/>
      <c r="I41" s="41"/>
      <c r="J41" s="41"/>
      <c r="K41" s="41"/>
      <c r="L41" s="41"/>
      <c r="M41" s="41"/>
      <c r="N41" s="41"/>
      <c r="O41" s="41"/>
      <c r="P41" s="41"/>
      <c r="Q41" s="202" t="str">
        <f>GENERALITES!$C5</f>
        <v>tomate séchée</v>
      </c>
      <c r="R41" s="203"/>
      <c r="S41" s="204"/>
      <c r="T41" s="9"/>
      <c r="V41" s="6"/>
    </row>
    <row r="42" spans="1:22" ht="7.5" customHeight="1" x14ac:dyDescent="0.25">
      <c r="B42" s="8"/>
      <c r="C42" s="8"/>
      <c r="D42" s="8"/>
      <c r="E42" s="8"/>
      <c r="F42" s="8"/>
      <c r="G42" s="8"/>
      <c r="H42" s="8"/>
      <c r="I42" s="8"/>
      <c r="J42" s="8"/>
      <c r="K42" s="8"/>
      <c r="L42" s="8"/>
      <c r="M42" s="8"/>
      <c r="N42" s="8"/>
      <c r="O42" s="8"/>
      <c r="P42" s="8"/>
      <c r="Q42" s="8"/>
      <c r="R42" s="8"/>
      <c r="S42" s="8"/>
      <c r="T42" s="8"/>
    </row>
    <row r="43" spans="1:22" ht="15" customHeight="1" x14ac:dyDescent="0.25">
      <c r="B43" s="8"/>
      <c r="C43" s="228" t="s">
        <v>546</v>
      </c>
      <c r="D43" s="229"/>
      <c r="E43" s="229"/>
      <c r="F43" s="193">
        <f>'SYNTHESE EXCEL'!$L$73</f>
        <v>73975.5</v>
      </c>
      <c r="G43" s="193"/>
      <c r="H43" s="12" t="s">
        <v>6</v>
      </c>
      <c r="J43" s="185" t="s">
        <v>548</v>
      </c>
      <c r="K43" s="186"/>
      <c r="L43" s="186"/>
      <c r="M43" s="184">
        <f>'SYNTHESE EXCEL'!$L$86</f>
        <v>7456.0427836349591</v>
      </c>
      <c r="N43" s="184"/>
      <c r="O43" s="16" t="s">
        <v>6</v>
      </c>
      <c r="T43" s="8"/>
    </row>
    <row r="44" spans="1:22" x14ac:dyDescent="0.25">
      <c r="B44" s="8"/>
      <c r="C44" s="187" t="s">
        <v>547</v>
      </c>
      <c r="D44" s="188"/>
      <c r="E44" s="188"/>
      <c r="F44" s="210">
        <f>'SYNTHESE EXCEL'!$L$84</f>
        <v>12329.25</v>
      </c>
      <c r="G44" s="210"/>
      <c r="H44" s="13" t="s">
        <v>0</v>
      </c>
      <c r="J44" s="213" t="s">
        <v>550</v>
      </c>
      <c r="K44" s="214"/>
      <c r="L44" s="214"/>
      <c r="M44" s="215">
        <f>'SYNTHESE EXCEL'!$L$97</f>
        <v>2.9824171134539839</v>
      </c>
      <c r="N44" s="215"/>
      <c r="O44" s="17" t="s">
        <v>549</v>
      </c>
      <c r="T44" s="8"/>
    </row>
    <row r="45" spans="1:22" ht="2.25" customHeight="1" x14ac:dyDescent="0.25">
      <c r="B45" s="8"/>
      <c r="C45" s="8"/>
      <c r="D45" s="8"/>
      <c r="E45" s="8"/>
      <c r="F45" s="8"/>
      <c r="G45" s="8"/>
      <c r="H45" s="8"/>
      <c r="I45" s="8"/>
      <c r="J45" s="8"/>
      <c r="K45" s="8"/>
      <c r="L45" s="8"/>
      <c r="M45" s="8"/>
      <c r="N45" s="8"/>
      <c r="O45" s="8"/>
      <c r="P45" s="8"/>
      <c r="Q45" s="8"/>
      <c r="R45" s="8"/>
      <c r="S45" s="8"/>
      <c r="T45" s="8"/>
    </row>
    <row r="46" spans="1:22" ht="15" customHeight="1" x14ac:dyDescent="0.25">
      <c r="B46" s="8"/>
      <c r="C46" s="20" t="s">
        <v>596</v>
      </c>
      <c r="D46" s="8"/>
      <c r="E46" s="8"/>
      <c r="F46" s="8"/>
      <c r="G46" s="8"/>
      <c r="H46" s="8"/>
      <c r="I46" s="20" t="s">
        <v>595</v>
      </c>
      <c r="J46" s="8"/>
      <c r="K46" s="8"/>
      <c r="L46" s="8"/>
      <c r="M46" s="8"/>
      <c r="N46" s="8"/>
      <c r="O46" s="8"/>
      <c r="P46" s="8"/>
    </row>
    <row r="47" spans="1:22" ht="15" customHeight="1" x14ac:dyDescent="0.25">
      <c r="B47" s="8"/>
      <c r="C47" s="8"/>
      <c r="D47" s="8"/>
      <c r="E47" s="8"/>
      <c r="F47" s="8"/>
      <c r="G47" s="8"/>
      <c r="H47" s="8"/>
      <c r="I47" s="8"/>
      <c r="J47" s="8"/>
      <c r="K47" s="8"/>
      <c r="L47" s="8"/>
      <c r="M47" s="8"/>
      <c r="N47" s="8"/>
      <c r="O47" s="8"/>
      <c r="P47" s="8"/>
      <c r="Q47" s="200"/>
      <c r="R47" s="201"/>
      <c r="S47" s="201"/>
      <c r="T47" s="8"/>
    </row>
    <row r="48" spans="1:22" x14ac:dyDescent="0.25">
      <c r="B48" s="8"/>
      <c r="C48" s="8"/>
      <c r="D48" s="8"/>
      <c r="E48" s="8"/>
      <c r="F48" s="8"/>
      <c r="G48" s="8"/>
      <c r="H48" s="8"/>
      <c r="I48" s="8"/>
      <c r="J48" s="8"/>
      <c r="K48" s="8"/>
      <c r="L48" s="8"/>
      <c r="M48" s="8"/>
      <c r="N48" s="8"/>
      <c r="O48" s="8"/>
      <c r="P48" s="8"/>
      <c r="Q48" s="201"/>
      <c r="R48" s="201"/>
      <c r="S48" s="201"/>
      <c r="T48" s="8"/>
    </row>
    <row r="49" spans="2:20" x14ac:dyDescent="0.25">
      <c r="B49" s="8"/>
      <c r="C49" s="8"/>
      <c r="D49" s="8"/>
      <c r="E49" s="8"/>
      <c r="F49" s="8"/>
      <c r="G49" s="8"/>
      <c r="H49" s="8"/>
      <c r="I49" s="8"/>
      <c r="J49" s="8"/>
      <c r="K49" s="8"/>
      <c r="L49" s="8"/>
      <c r="M49" s="8"/>
      <c r="N49" s="8"/>
      <c r="O49" s="8"/>
      <c r="P49" s="8"/>
      <c r="Q49" s="201"/>
      <c r="R49" s="201"/>
      <c r="S49" s="201"/>
      <c r="T49" s="8"/>
    </row>
    <row r="50" spans="2:20" x14ac:dyDescent="0.25">
      <c r="B50" s="8"/>
      <c r="C50" s="8"/>
      <c r="D50" s="8"/>
      <c r="E50" s="8"/>
      <c r="F50" s="8"/>
      <c r="G50" s="8"/>
      <c r="H50" s="8"/>
      <c r="I50" s="8"/>
      <c r="J50" s="8"/>
      <c r="K50" s="8"/>
      <c r="L50" s="8"/>
      <c r="M50" s="8"/>
      <c r="N50" s="8"/>
      <c r="O50" s="8"/>
      <c r="P50" s="8"/>
      <c r="Q50" s="201"/>
      <c r="R50" s="201"/>
      <c r="S50" s="201"/>
      <c r="T50" s="8"/>
    </row>
    <row r="51" spans="2:20" x14ac:dyDescent="0.25">
      <c r="B51" s="8"/>
      <c r="C51" s="8"/>
      <c r="D51" s="8"/>
      <c r="E51" s="8"/>
      <c r="F51" s="8"/>
      <c r="G51" s="8"/>
      <c r="H51" s="8"/>
      <c r="I51" s="8"/>
      <c r="J51" s="8"/>
      <c r="K51" s="8"/>
      <c r="L51" s="8"/>
      <c r="M51" s="8"/>
      <c r="N51" s="8"/>
      <c r="O51" s="8"/>
      <c r="P51" s="8"/>
      <c r="Q51" s="201"/>
      <c r="R51" s="201"/>
      <c r="S51" s="201"/>
      <c r="T51" s="8"/>
    </row>
    <row r="52" spans="2:20" x14ac:dyDescent="0.25">
      <c r="B52" s="8"/>
      <c r="C52" s="8"/>
      <c r="D52" s="8"/>
      <c r="E52" s="8"/>
      <c r="F52" s="8"/>
      <c r="G52" s="8"/>
      <c r="H52" s="8"/>
      <c r="I52" s="8"/>
      <c r="J52" s="8"/>
      <c r="K52" s="8"/>
      <c r="L52" s="8"/>
      <c r="M52" s="8"/>
      <c r="N52" s="8"/>
      <c r="O52" s="8"/>
      <c r="P52" s="8"/>
      <c r="Q52" s="201"/>
      <c r="R52" s="201"/>
      <c r="S52" s="201"/>
      <c r="T52" s="8"/>
    </row>
    <row r="53" spans="2:20" x14ac:dyDescent="0.25">
      <c r="B53" s="8"/>
      <c r="C53" s="8"/>
      <c r="D53" s="8"/>
      <c r="E53" s="8"/>
      <c r="F53" s="8"/>
      <c r="G53" s="8"/>
      <c r="H53" s="8"/>
      <c r="I53" s="8"/>
      <c r="J53" s="8"/>
      <c r="K53" s="8"/>
      <c r="L53" s="8"/>
      <c r="M53" s="8"/>
      <c r="N53" s="8"/>
      <c r="O53" s="8"/>
      <c r="P53" s="8"/>
      <c r="Q53" s="201"/>
      <c r="R53" s="201"/>
      <c r="S53" s="201"/>
      <c r="T53" s="8"/>
    </row>
    <row r="54" spans="2:20" x14ac:dyDescent="0.25">
      <c r="B54" s="8"/>
      <c r="C54" s="8"/>
      <c r="D54" s="8"/>
      <c r="E54" s="8"/>
      <c r="F54" s="8"/>
      <c r="G54" s="8"/>
      <c r="H54" s="8"/>
      <c r="I54" s="8"/>
      <c r="J54" s="8"/>
      <c r="K54" s="8"/>
      <c r="L54" s="8"/>
      <c r="M54" s="8"/>
      <c r="N54" s="8"/>
      <c r="O54" s="8"/>
      <c r="P54" s="8"/>
      <c r="Q54" s="201"/>
      <c r="R54" s="201"/>
      <c r="S54" s="201"/>
      <c r="T54" s="8"/>
    </row>
    <row r="55" spans="2:20" x14ac:dyDescent="0.25">
      <c r="B55" s="8"/>
      <c r="C55" s="8"/>
      <c r="D55" s="8"/>
      <c r="E55" s="8"/>
      <c r="F55" s="8"/>
      <c r="G55" s="8"/>
      <c r="H55" s="8"/>
      <c r="I55" s="8"/>
      <c r="J55" s="8"/>
      <c r="K55" s="8"/>
      <c r="L55" s="8"/>
      <c r="M55" s="8"/>
      <c r="N55" s="8"/>
      <c r="O55" s="8"/>
      <c r="P55" s="8"/>
      <c r="Q55" s="201"/>
      <c r="R55" s="201"/>
      <c r="S55" s="201"/>
      <c r="T55" s="8"/>
    </row>
    <row r="56" spans="2:20" x14ac:dyDescent="0.25">
      <c r="B56" s="8"/>
      <c r="C56" s="8"/>
      <c r="D56" s="8"/>
      <c r="E56" s="8"/>
      <c r="F56" s="8"/>
      <c r="G56" s="8"/>
      <c r="H56" s="8"/>
      <c r="I56" s="8"/>
      <c r="J56" s="8"/>
      <c r="K56" s="8"/>
      <c r="L56" s="8"/>
      <c r="M56" s="8"/>
      <c r="N56" s="8"/>
      <c r="O56" s="8"/>
      <c r="P56" s="8"/>
      <c r="Q56" s="201"/>
      <c r="R56" s="201"/>
      <c r="S56" s="201"/>
      <c r="T56" s="8"/>
    </row>
    <row r="57" spans="2:20" x14ac:dyDescent="0.25">
      <c r="B57" s="8"/>
      <c r="C57" s="8"/>
      <c r="D57" s="8"/>
      <c r="E57" s="8"/>
      <c r="F57" s="8"/>
      <c r="G57" s="8"/>
      <c r="H57" s="8"/>
      <c r="I57" s="8"/>
      <c r="J57" s="8"/>
      <c r="K57" s="8"/>
      <c r="L57" s="8"/>
      <c r="M57" s="8"/>
      <c r="N57" s="8"/>
      <c r="O57" s="8"/>
      <c r="P57" s="8"/>
      <c r="Q57" s="201"/>
      <c r="R57" s="201"/>
      <c r="S57" s="201"/>
      <c r="T57" s="8"/>
    </row>
    <row r="58" spans="2:20" x14ac:dyDescent="0.25">
      <c r="B58" s="8"/>
      <c r="C58" s="8"/>
      <c r="D58" s="8"/>
      <c r="E58" s="8"/>
      <c r="F58" s="8"/>
      <c r="G58" s="8"/>
      <c r="H58" s="8"/>
      <c r="I58" s="8"/>
      <c r="J58" s="8"/>
      <c r="K58" s="8"/>
      <c r="L58" s="8"/>
      <c r="M58" s="8"/>
      <c r="N58" s="8"/>
      <c r="O58" s="8"/>
      <c r="P58" s="8"/>
      <c r="Q58" s="201"/>
      <c r="R58" s="201"/>
      <c r="S58" s="201"/>
      <c r="T58" s="8"/>
    </row>
    <row r="59" spans="2:20" ht="8.25" customHeight="1" x14ac:dyDescent="0.25">
      <c r="B59" s="8"/>
      <c r="C59" s="8"/>
      <c r="D59" s="8"/>
      <c r="E59" s="8"/>
      <c r="F59" s="8"/>
      <c r="G59" s="8"/>
      <c r="H59" s="8"/>
      <c r="I59" s="8"/>
      <c r="J59" s="8"/>
      <c r="K59" s="8"/>
      <c r="L59" s="8"/>
      <c r="M59" s="8"/>
      <c r="N59" s="8"/>
      <c r="O59" s="8"/>
      <c r="P59" s="8"/>
      <c r="Q59" s="201"/>
      <c r="R59" s="201"/>
      <c r="S59" s="201"/>
      <c r="T59" s="8"/>
    </row>
    <row r="60" spans="2:20" ht="15" customHeight="1" x14ac:dyDescent="0.25">
      <c r="B60" s="8"/>
      <c r="C60" s="189" t="s">
        <v>551</v>
      </c>
      <c r="D60" s="190"/>
      <c r="E60" s="190"/>
      <c r="F60" s="211">
        <f>'SYNTHESE EXCEL'!$L$101</f>
        <v>197.67762999999999</v>
      </c>
      <c r="G60" s="211"/>
      <c r="H60" s="14" t="s">
        <v>21</v>
      </c>
      <c r="J60" s="216" t="s">
        <v>552</v>
      </c>
      <c r="K60" s="217"/>
      <c r="L60" s="217"/>
      <c r="M60" s="42">
        <f>'SYNTHESE EXCEL'!$L$111</f>
        <v>26.416010099574734</v>
      </c>
      <c r="N60" s="207" t="s">
        <v>21</v>
      </c>
      <c r="O60" s="208"/>
      <c r="Q60" s="201"/>
      <c r="R60" s="201"/>
      <c r="S60" s="201"/>
      <c r="T60" s="8"/>
    </row>
    <row r="61" spans="2:20" x14ac:dyDescent="0.25">
      <c r="B61" s="8"/>
      <c r="C61" s="191" t="s">
        <v>627</v>
      </c>
      <c r="D61" s="192"/>
      <c r="E61" s="192"/>
      <c r="F61" s="212">
        <f>'SYNTHESE EXCEL'!$L$109</f>
        <v>32.946271666666668</v>
      </c>
      <c r="G61" s="212"/>
      <c r="H61" s="15" t="s">
        <v>20</v>
      </c>
      <c r="J61" s="43" t="s">
        <v>631</v>
      </c>
      <c r="K61" s="45"/>
      <c r="L61" s="44"/>
      <c r="M61" s="129">
        <f>'SYNTHESE EXCEL'!L119</f>
        <v>3.522134679943298</v>
      </c>
      <c r="N61" s="205" t="s">
        <v>632</v>
      </c>
      <c r="O61" s="206"/>
      <c r="Q61" s="201"/>
      <c r="R61" s="201"/>
      <c r="S61" s="201"/>
      <c r="T61" s="8"/>
    </row>
    <row r="62" spans="2:20" ht="2.25" customHeight="1" x14ac:dyDescent="0.25">
      <c r="B62" s="8"/>
      <c r="C62" s="8"/>
      <c r="D62" s="8"/>
      <c r="E62" s="8"/>
      <c r="F62" s="8"/>
      <c r="G62" s="8"/>
      <c r="H62" s="8"/>
      <c r="I62" s="8"/>
      <c r="J62" s="8"/>
      <c r="K62" s="8"/>
      <c r="L62" s="8"/>
      <c r="M62" s="8"/>
      <c r="N62" s="8"/>
      <c r="O62" s="8"/>
      <c r="P62" s="8"/>
      <c r="Q62" s="201"/>
      <c r="R62" s="201"/>
      <c r="S62" s="201"/>
      <c r="T62" s="8"/>
    </row>
    <row r="63" spans="2:20" ht="15" customHeight="1" x14ac:dyDescent="0.25">
      <c r="B63" s="8"/>
      <c r="C63" s="20" t="s">
        <v>598</v>
      </c>
      <c r="D63" s="8"/>
      <c r="E63" s="8"/>
      <c r="F63" s="8"/>
      <c r="G63" s="8"/>
      <c r="H63" s="8"/>
      <c r="I63" s="20" t="s">
        <v>597</v>
      </c>
      <c r="J63" s="8"/>
      <c r="K63" s="8"/>
      <c r="L63" s="8"/>
      <c r="M63" s="8"/>
      <c r="N63" s="8"/>
      <c r="O63" s="8"/>
      <c r="P63" s="8"/>
      <c r="Q63" s="201"/>
      <c r="R63" s="201"/>
      <c r="S63" s="201"/>
      <c r="T63" s="8"/>
    </row>
    <row r="64" spans="2:20" x14ac:dyDescent="0.25">
      <c r="B64" s="8"/>
      <c r="C64" s="8"/>
      <c r="D64" s="8"/>
      <c r="E64" s="8"/>
      <c r="F64" s="8"/>
      <c r="G64" s="8"/>
      <c r="H64" s="8"/>
      <c r="I64" s="8"/>
      <c r="J64" s="8"/>
      <c r="K64" s="8"/>
      <c r="L64" s="8"/>
      <c r="M64" s="8"/>
      <c r="N64" s="8"/>
      <c r="O64" s="8"/>
      <c r="P64" s="8"/>
      <c r="Q64" s="201"/>
      <c r="R64" s="201"/>
      <c r="S64" s="201"/>
      <c r="T64" s="8"/>
    </row>
    <row r="65" spans="2:23" x14ac:dyDescent="0.25">
      <c r="B65" s="8"/>
      <c r="C65" s="8"/>
      <c r="D65" s="8"/>
      <c r="E65" s="8"/>
      <c r="F65" s="8"/>
      <c r="G65" s="8"/>
      <c r="H65" s="8"/>
      <c r="I65" s="8"/>
      <c r="J65" s="8"/>
      <c r="K65" s="8"/>
      <c r="L65" s="8"/>
      <c r="M65" s="8"/>
      <c r="N65" s="8"/>
      <c r="O65" s="8"/>
      <c r="P65" s="8"/>
      <c r="Q65" s="201"/>
      <c r="R65" s="201"/>
      <c r="S65" s="201"/>
      <c r="T65" s="8"/>
    </row>
    <row r="66" spans="2:23" x14ac:dyDescent="0.25">
      <c r="B66" s="8"/>
      <c r="C66" s="8"/>
      <c r="D66" s="8"/>
      <c r="E66" s="8"/>
      <c r="F66" s="8"/>
      <c r="G66" s="8"/>
      <c r="H66" s="8"/>
      <c r="I66" s="8"/>
      <c r="J66" s="8"/>
      <c r="K66" s="8"/>
      <c r="L66" s="8"/>
      <c r="M66" s="8"/>
      <c r="N66" s="8"/>
      <c r="O66" s="8"/>
      <c r="P66" s="8"/>
      <c r="Q66" s="201"/>
      <c r="R66" s="201"/>
      <c r="S66" s="201"/>
      <c r="T66" s="8"/>
    </row>
    <row r="67" spans="2:23" x14ac:dyDescent="0.25">
      <c r="B67" s="8"/>
      <c r="C67" s="8"/>
      <c r="D67" s="8"/>
      <c r="E67" s="8"/>
      <c r="F67" s="8"/>
      <c r="G67" s="8"/>
      <c r="H67" s="8"/>
      <c r="I67" s="8"/>
      <c r="J67" s="8"/>
      <c r="K67" s="8"/>
      <c r="L67" s="8"/>
      <c r="M67" s="8"/>
      <c r="N67" s="8"/>
      <c r="O67" s="8"/>
      <c r="P67" s="8"/>
      <c r="Q67" s="201"/>
      <c r="R67" s="201"/>
      <c r="S67" s="201"/>
      <c r="T67" s="8"/>
    </row>
    <row r="68" spans="2:23" x14ac:dyDescent="0.25">
      <c r="B68" s="8"/>
      <c r="C68" s="8"/>
      <c r="D68" s="8"/>
      <c r="E68" s="8"/>
      <c r="F68" s="8"/>
      <c r="G68" s="8"/>
      <c r="H68" s="8"/>
      <c r="I68" s="8"/>
      <c r="J68" s="8"/>
      <c r="K68" s="8"/>
      <c r="L68" s="8"/>
      <c r="M68" s="8"/>
      <c r="N68" s="8"/>
      <c r="O68" s="8"/>
      <c r="P68" s="8"/>
      <c r="Q68" s="201"/>
      <c r="R68" s="201"/>
      <c r="S68" s="201"/>
      <c r="T68" s="8"/>
    </row>
    <row r="69" spans="2:23" x14ac:dyDescent="0.25">
      <c r="B69" s="8"/>
      <c r="C69" s="8"/>
      <c r="D69" s="8"/>
      <c r="E69" s="8"/>
      <c r="F69" s="8"/>
      <c r="G69" s="8"/>
      <c r="H69" s="8"/>
      <c r="I69" s="8"/>
      <c r="J69" s="8"/>
      <c r="K69" s="8"/>
      <c r="L69" s="8"/>
      <c r="M69" s="8"/>
      <c r="N69" s="8"/>
      <c r="O69" s="8"/>
      <c r="P69" s="8"/>
      <c r="Q69" s="201"/>
      <c r="R69" s="201"/>
      <c r="S69" s="201"/>
      <c r="T69" s="8"/>
    </row>
    <row r="70" spans="2:23" x14ac:dyDescent="0.25">
      <c r="B70" s="8"/>
      <c r="C70" s="8"/>
      <c r="D70" s="8"/>
      <c r="E70" s="8"/>
      <c r="F70" s="8"/>
      <c r="G70" s="8"/>
      <c r="H70" s="8"/>
      <c r="I70" s="8"/>
      <c r="J70" s="8"/>
      <c r="K70" s="8"/>
      <c r="L70" s="8"/>
      <c r="M70" s="8"/>
      <c r="N70" s="8"/>
      <c r="O70" s="8"/>
      <c r="P70" s="8"/>
      <c r="Q70" s="201"/>
      <c r="R70" s="201"/>
      <c r="S70" s="201"/>
      <c r="T70" s="8"/>
    </row>
    <row r="71" spans="2:23" x14ac:dyDescent="0.25">
      <c r="B71" s="8"/>
      <c r="C71" s="8"/>
      <c r="D71" s="8"/>
      <c r="E71" s="8"/>
      <c r="F71" s="8"/>
      <c r="G71" s="8"/>
      <c r="H71" s="8"/>
      <c r="I71" s="8"/>
      <c r="J71" s="8"/>
      <c r="K71" s="8"/>
      <c r="L71" s="8"/>
      <c r="M71" s="8"/>
      <c r="N71" s="8"/>
      <c r="O71" s="8"/>
      <c r="P71" s="8"/>
      <c r="Q71" s="201"/>
      <c r="R71" s="201"/>
      <c r="S71" s="201"/>
      <c r="T71" s="8"/>
    </row>
    <row r="72" spans="2:23" x14ac:dyDescent="0.25">
      <c r="B72" s="8"/>
      <c r="C72" s="8"/>
      <c r="D72" s="8"/>
      <c r="E72" s="8"/>
      <c r="F72" s="8"/>
      <c r="G72" s="8"/>
      <c r="H72" s="8"/>
      <c r="I72" s="8"/>
      <c r="J72" s="8"/>
      <c r="K72" s="8"/>
      <c r="L72" s="8"/>
      <c r="M72" s="8"/>
      <c r="N72" s="8"/>
      <c r="O72" s="8"/>
      <c r="P72" s="8"/>
      <c r="Q72" s="201"/>
      <c r="R72" s="201"/>
      <c r="S72" s="201"/>
      <c r="T72" s="8"/>
    </row>
    <row r="73" spans="2:23" x14ac:dyDescent="0.25">
      <c r="B73" s="8"/>
      <c r="C73" s="8"/>
      <c r="D73" s="8"/>
      <c r="E73" s="8"/>
      <c r="F73" s="8"/>
      <c r="G73" s="8"/>
      <c r="H73" s="8"/>
      <c r="I73" s="8"/>
      <c r="J73" s="8"/>
      <c r="K73" s="8"/>
      <c r="L73" s="8"/>
      <c r="M73" s="8"/>
      <c r="N73" s="8"/>
      <c r="O73" s="8"/>
      <c r="P73" s="8"/>
      <c r="Q73" s="201"/>
      <c r="R73" s="201"/>
      <c r="S73" s="201"/>
      <c r="T73" s="8"/>
    </row>
    <row r="74" spans="2:23" x14ac:dyDescent="0.25">
      <c r="I74" s="7"/>
      <c r="J74" s="7"/>
      <c r="K74" s="7"/>
      <c r="L74" s="7"/>
      <c r="M74" s="7"/>
      <c r="N74" s="7"/>
      <c r="O74" s="7"/>
      <c r="P74" s="7"/>
      <c r="Q74" s="201"/>
      <c r="R74" s="201"/>
      <c r="S74" s="201"/>
    </row>
    <row r="75" spans="2:23" x14ac:dyDescent="0.25">
      <c r="Q75" s="201"/>
      <c r="R75" s="201"/>
      <c r="S75" s="201"/>
    </row>
    <row r="76" spans="2:23" ht="13.5" customHeight="1" x14ac:dyDescent="0.25">
      <c r="B76" s="8"/>
      <c r="C76" s="24" t="s">
        <v>599</v>
      </c>
      <c r="D76" s="8"/>
      <c r="E76" s="8"/>
      <c r="F76" s="8"/>
      <c r="G76" s="8"/>
      <c r="H76" s="8"/>
      <c r="I76" s="8"/>
      <c r="J76" s="8"/>
      <c r="K76" s="8"/>
      <c r="L76" s="8"/>
      <c r="M76" s="8"/>
      <c r="N76" s="8"/>
      <c r="O76" s="8"/>
      <c r="P76" s="8"/>
      <c r="Q76" s="8"/>
      <c r="R76" s="8"/>
      <c r="S76" s="8"/>
      <c r="T76" s="8"/>
    </row>
    <row r="77" spans="2:23" x14ac:dyDescent="0.25">
      <c r="C77" s="71"/>
      <c r="D77" s="71"/>
      <c r="E77" s="71"/>
      <c r="F77" s="71"/>
      <c r="G77" s="71"/>
      <c r="H77" s="71"/>
      <c r="I77" s="71"/>
      <c r="J77" s="71"/>
      <c r="K77" s="71"/>
      <c r="L77" s="71"/>
      <c r="M77" s="71"/>
      <c r="N77" s="71"/>
      <c r="O77" s="71"/>
      <c r="P77" s="71"/>
      <c r="Q77" s="71"/>
      <c r="R77" s="71"/>
      <c r="S77" s="71"/>
    </row>
    <row r="78" spans="2:23" s="4" customFormat="1" ht="40.5" customHeight="1" x14ac:dyDescent="0.25">
      <c r="B78" s="9"/>
      <c r="C78" s="85"/>
      <c r="D78" s="86"/>
      <c r="E78" s="86"/>
      <c r="F78" s="86"/>
      <c r="G78" s="86"/>
      <c r="H78" s="86"/>
      <c r="I78" s="86"/>
      <c r="J78" s="86"/>
      <c r="K78" s="86"/>
      <c r="L78" s="86"/>
      <c r="M78" s="86"/>
      <c r="N78" s="86"/>
      <c r="O78" s="86"/>
      <c r="P78" s="86"/>
      <c r="Q78" s="209"/>
      <c r="R78" s="209"/>
      <c r="S78" s="209"/>
      <c r="T78" s="9"/>
      <c r="V78" s="6"/>
    </row>
    <row r="79" spans="2:23" x14ac:dyDescent="0.25">
      <c r="C79" s="71"/>
      <c r="D79" s="71"/>
      <c r="E79" s="71"/>
      <c r="F79" s="71"/>
      <c r="G79" s="71"/>
      <c r="H79" s="71"/>
      <c r="I79" s="71"/>
      <c r="J79" s="71"/>
      <c r="K79" s="71"/>
      <c r="L79" s="71"/>
      <c r="M79" s="71"/>
      <c r="N79" s="71"/>
      <c r="O79" s="71"/>
      <c r="P79" s="71"/>
      <c r="Q79" s="71"/>
      <c r="R79" s="71"/>
      <c r="S79" s="71"/>
    </row>
    <row r="80" spans="2:23" s="4" customFormat="1" ht="40.5" customHeight="1" x14ac:dyDescent="0.25">
      <c r="B80" s="9"/>
      <c r="C80" s="71"/>
      <c r="D80" s="71"/>
      <c r="E80" s="71"/>
      <c r="F80" s="71"/>
      <c r="G80" s="71"/>
      <c r="H80" s="71"/>
      <c r="I80" s="71"/>
      <c r="J80" s="71"/>
      <c r="K80" s="71"/>
      <c r="L80" s="71"/>
      <c r="M80" s="71"/>
      <c r="N80" s="71"/>
      <c r="O80" s="71"/>
      <c r="P80" s="71"/>
      <c r="Q80" s="71"/>
      <c r="R80" s="71"/>
      <c r="S80" s="71"/>
      <c r="T80" s="9"/>
      <c r="V80" s="6"/>
      <c r="W80" s="4" t="s">
        <v>40</v>
      </c>
    </row>
  </sheetData>
  <sheetProtection algorithmName="SHA-512" hashValue="SZKEnkF68o+yE9K7Pc+CgWhspTGxfrukPrX4myLd3niPJFbZFy+4pBWrDUzs2fojdKLcQd+FxVUWa7B0YmnIzg==" saltValue="YwJjX7nVF2D838PeTk3JEw==" spinCount="100000" sheet="1" objects="1" scenarios="1"/>
  <mergeCells count="27">
    <mergeCell ref="C1:H1"/>
    <mergeCell ref="Q47:S75"/>
    <mergeCell ref="N61:O61"/>
    <mergeCell ref="N60:O60"/>
    <mergeCell ref="Q78:S78"/>
    <mergeCell ref="F44:G44"/>
    <mergeCell ref="F60:G60"/>
    <mergeCell ref="F61:G61"/>
    <mergeCell ref="J44:L44"/>
    <mergeCell ref="M44:N44"/>
    <mergeCell ref="J60:L60"/>
    <mergeCell ref="Q6:S6"/>
    <mergeCell ref="C8:D8"/>
    <mergeCell ref="C9:D9"/>
    <mergeCell ref="N8:P11"/>
    <mergeCell ref="C43:E43"/>
    <mergeCell ref="C10:D10"/>
    <mergeCell ref="H9:J9"/>
    <mergeCell ref="H8:J8"/>
    <mergeCell ref="Q13:S38"/>
    <mergeCell ref="Q41:S41"/>
    <mergeCell ref="M43:N43"/>
    <mergeCell ref="J43:L43"/>
    <mergeCell ref="C44:E44"/>
    <mergeCell ref="C60:E60"/>
    <mergeCell ref="C61:E61"/>
    <mergeCell ref="F43:G43"/>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U70"/>
  <sheetViews>
    <sheetView showGridLines="0" zoomScaleNormal="100" workbookViewId="0"/>
  </sheetViews>
  <sheetFormatPr baseColWidth="10" defaultRowHeight="15" x14ac:dyDescent="0.25"/>
  <cols>
    <col min="1" max="1" width="4.7109375" style="88" customWidth="1"/>
    <col min="2" max="2" width="44.5703125" style="88" customWidth="1"/>
    <col min="3" max="5" width="20.42578125" style="88" customWidth="1"/>
    <col min="6" max="6" width="5.140625" style="88" customWidth="1"/>
    <col min="7" max="7" width="54.7109375" style="88" bestFit="1" customWidth="1"/>
    <col min="8" max="8" width="17.5703125" style="88" bestFit="1" customWidth="1"/>
    <col min="9" max="9" width="11.42578125" style="88"/>
    <col min="10" max="10" width="17" style="88" customWidth="1"/>
    <col min="11" max="11" width="2.28515625" style="88" customWidth="1"/>
    <col min="12" max="12" width="86.7109375" style="88" customWidth="1"/>
    <col min="13" max="13" width="2.140625" style="88" customWidth="1"/>
    <col min="14" max="14" width="89.28515625" style="88" customWidth="1"/>
    <col min="15" max="16384" width="11.42578125" style="88"/>
  </cols>
  <sheetData>
    <row r="1" spans="1:125" ht="24" thickBot="1" x14ac:dyDescent="0.4">
      <c r="A1" s="603"/>
      <c r="B1" s="604" t="s">
        <v>789</v>
      </c>
      <c r="C1" s="605"/>
    </row>
    <row r="2" spans="1:125" ht="15" customHeight="1" x14ac:dyDescent="0.25">
      <c r="A2" s="606"/>
      <c r="B2" s="254" t="s">
        <v>784</v>
      </c>
      <c r="C2" s="255"/>
      <c r="D2" s="255"/>
      <c r="E2" s="256"/>
      <c r="F2" s="607"/>
      <c r="G2" s="607"/>
      <c r="H2" s="607"/>
    </row>
    <row r="3" spans="1:125" x14ac:dyDescent="0.25">
      <c r="A3" s="606"/>
      <c r="B3" s="263"/>
      <c r="C3" s="264"/>
      <c r="D3" s="264"/>
      <c r="E3" s="265"/>
      <c r="F3" s="607"/>
      <c r="G3" s="607"/>
      <c r="H3" s="607"/>
    </row>
    <row r="4" spans="1:125" ht="15.75" thickBot="1" x14ac:dyDescent="0.3">
      <c r="A4" s="606"/>
      <c r="B4" s="275"/>
      <c r="C4" s="276"/>
      <c r="D4" s="276"/>
      <c r="E4" s="277"/>
      <c r="F4" s="607"/>
      <c r="G4" s="607"/>
      <c r="H4" s="607"/>
    </row>
    <row r="5" spans="1:125" ht="15" customHeight="1" x14ac:dyDescent="0.25"/>
    <row r="6" spans="1:125" s="612" customFormat="1" ht="30" customHeight="1" x14ac:dyDescent="0.25">
      <c r="A6" s="608"/>
      <c r="B6" s="609" t="s">
        <v>657</v>
      </c>
      <c r="C6" s="610"/>
      <c r="D6" s="610"/>
      <c r="E6" s="611"/>
      <c r="F6" s="88"/>
      <c r="G6" s="230" t="s">
        <v>658</v>
      </c>
      <c r="H6" s="231"/>
      <c r="I6" s="231"/>
      <c r="J6" s="231"/>
      <c r="K6" s="231"/>
      <c r="L6" s="23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row>
    <row r="7" spans="1:125" ht="15.75" thickBot="1" x14ac:dyDescent="0.3">
      <c r="B7" s="612"/>
      <c r="C7" s="613"/>
      <c r="D7" s="613"/>
      <c r="E7" s="613"/>
    </row>
    <row r="8" spans="1:125" ht="29.25" customHeight="1" thickBot="1" x14ac:dyDescent="0.3">
      <c r="B8" s="87" t="s">
        <v>637</v>
      </c>
      <c r="C8" s="99" t="s">
        <v>669</v>
      </c>
      <c r="D8" s="100" t="s">
        <v>670</v>
      </c>
      <c r="E8" s="101" t="s">
        <v>671</v>
      </c>
      <c r="G8" s="120" t="s">
        <v>751</v>
      </c>
      <c r="H8" s="121" t="s">
        <v>633</v>
      </c>
      <c r="I8" s="121" t="s">
        <v>634</v>
      </c>
      <c r="J8" s="121" t="s">
        <v>635</v>
      </c>
      <c r="L8" s="121" t="s">
        <v>636</v>
      </c>
      <c r="N8" s="122" t="s">
        <v>659</v>
      </c>
    </row>
    <row r="9" spans="1:125" x14ac:dyDescent="0.25">
      <c r="C9" s="614"/>
      <c r="D9" s="614"/>
      <c r="E9" s="614"/>
      <c r="G9" s="615" t="s">
        <v>815</v>
      </c>
      <c r="H9" s="616">
        <v>0.5</v>
      </c>
      <c r="I9" s="617" t="s">
        <v>1</v>
      </c>
      <c r="J9" s="123">
        <f>H9*100/(SUM($H$9:$H$33))</f>
        <v>62.5</v>
      </c>
      <c r="K9" s="618"/>
      <c r="L9" s="619" t="s">
        <v>817</v>
      </c>
      <c r="N9" s="620"/>
      <c r="P9" s="119">
        <f>RANK(H9,$H$9:$H$29)</f>
        <v>1</v>
      </c>
    </row>
    <row r="10" spans="1:125" x14ac:dyDescent="0.25">
      <c r="B10" s="89" t="s">
        <v>638</v>
      </c>
      <c r="C10" s="102"/>
      <c r="D10" s="102" t="str">
        <f>GENERALITES!$C$5</f>
        <v>tomate séchée</v>
      </c>
      <c r="E10" s="621"/>
      <c r="G10" s="622" t="s">
        <v>816</v>
      </c>
      <c r="H10" s="623">
        <v>0.3</v>
      </c>
      <c r="I10" s="624" t="s">
        <v>1</v>
      </c>
      <c r="J10" s="124">
        <f t="shared" ref="J10:J33" si="0">H10*100/(SUM($H$9:$H$33))</f>
        <v>37.5</v>
      </c>
      <c r="K10" s="625"/>
      <c r="L10" s="626"/>
      <c r="N10" s="620"/>
      <c r="P10" s="119">
        <f t="shared" ref="P10:P28" si="1">RANK(H10,$H$9:$H$29)</f>
        <v>2</v>
      </c>
    </row>
    <row r="11" spans="1:125" x14ac:dyDescent="0.25">
      <c r="C11" s="614"/>
      <c r="D11" s="614"/>
      <c r="E11" s="614"/>
      <c r="G11" s="627"/>
      <c r="H11" s="623"/>
      <c r="I11" s="628"/>
      <c r="J11" s="124">
        <f t="shared" si="0"/>
        <v>0</v>
      </c>
      <c r="K11" s="625"/>
      <c r="L11" s="626"/>
      <c r="N11" s="620"/>
      <c r="P11" s="119" t="e">
        <f t="shared" si="1"/>
        <v>#N/A</v>
      </c>
    </row>
    <row r="12" spans="1:125" x14ac:dyDescent="0.25">
      <c r="B12" s="89" t="s">
        <v>639</v>
      </c>
      <c r="C12" s="103"/>
      <c r="D12" s="103">
        <f>'SYNTHESE GRAPHIQUES'!$E$10</f>
        <v>4.9995000000000003</v>
      </c>
      <c r="E12" s="629"/>
      <c r="G12" s="627"/>
      <c r="H12" s="623"/>
      <c r="I12" s="628"/>
      <c r="J12" s="124">
        <f t="shared" si="0"/>
        <v>0</v>
      </c>
      <c r="K12" s="625"/>
      <c r="L12" s="626"/>
      <c r="N12" s="620"/>
      <c r="P12" s="119" t="e">
        <f t="shared" si="1"/>
        <v>#N/A</v>
      </c>
    </row>
    <row r="13" spans="1:125" x14ac:dyDescent="0.25">
      <c r="B13" s="90" t="s">
        <v>634</v>
      </c>
      <c r="C13" s="104"/>
      <c r="D13" s="104" t="str">
        <f>'SYNTHESE GRAPHIQUES'!$F$10</f>
        <v>T</v>
      </c>
      <c r="E13" s="630"/>
      <c r="G13" s="627"/>
      <c r="H13" s="623"/>
      <c r="I13" s="628"/>
      <c r="J13" s="124">
        <f t="shared" si="0"/>
        <v>0</v>
      </c>
      <c r="K13" s="625"/>
      <c r="L13" s="626"/>
      <c r="N13" s="620"/>
      <c r="P13" s="119" t="e">
        <f t="shared" si="1"/>
        <v>#N/A</v>
      </c>
    </row>
    <row r="14" spans="1:125" x14ac:dyDescent="0.25">
      <c r="C14" s="631"/>
      <c r="D14" s="631"/>
      <c r="E14" s="631"/>
      <c r="G14" s="627"/>
      <c r="H14" s="623"/>
      <c r="I14" s="628"/>
      <c r="J14" s="124">
        <f t="shared" si="0"/>
        <v>0</v>
      </c>
      <c r="K14" s="625"/>
      <c r="L14" s="626"/>
      <c r="N14" s="620"/>
      <c r="P14" s="119" t="e">
        <f t="shared" si="1"/>
        <v>#N/A</v>
      </c>
    </row>
    <row r="15" spans="1:125" x14ac:dyDescent="0.25">
      <c r="B15" s="89" t="s">
        <v>640</v>
      </c>
      <c r="C15" s="105"/>
      <c r="D15" s="105">
        <f>GENERALITES!$B$8</f>
        <v>250000</v>
      </c>
      <c r="E15" s="632"/>
      <c r="G15" s="627"/>
      <c r="H15" s="623"/>
      <c r="I15" s="628"/>
      <c r="J15" s="124">
        <f t="shared" si="0"/>
        <v>0</v>
      </c>
      <c r="K15" s="625"/>
      <c r="L15" s="626"/>
      <c r="N15" s="620"/>
      <c r="P15" s="119" t="e">
        <f t="shared" si="1"/>
        <v>#N/A</v>
      </c>
    </row>
    <row r="16" spans="1:125" x14ac:dyDescent="0.25">
      <c r="B16" s="89" t="s">
        <v>663</v>
      </c>
      <c r="C16" s="633"/>
      <c r="D16" s="634">
        <v>0.39</v>
      </c>
      <c r="E16" s="635"/>
      <c r="G16" s="627"/>
      <c r="H16" s="623"/>
      <c r="I16" s="628"/>
      <c r="J16" s="124">
        <f t="shared" si="0"/>
        <v>0</v>
      </c>
      <c r="K16" s="625"/>
      <c r="L16" s="626"/>
      <c r="N16" s="620"/>
      <c r="P16" s="119" t="e">
        <f t="shared" si="1"/>
        <v>#N/A</v>
      </c>
    </row>
    <row r="17" spans="2:16" x14ac:dyDescent="0.25">
      <c r="C17" s="614"/>
      <c r="D17" s="614"/>
      <c r="E17" s="614"/>
      <c r="G17" s="627"/>
      <c r="H17" s="623"/>
      <c r="I17" s="628"/>
      <c r="J17" s="124">
        <f t="shared" si="0"/>
        <v>0</v>
      </c>
      <c r="K17" s="625"/>
      <c r="L17" s="626"/>
      <c r="N17" s="620"/>
      <c r="P17" s="119" t="e">
        <f t="shared" si="1"/>
        <v>#N/A</v>
      </c>
    </row>
    <row r="18" spans="2:16" ht="15.75" x14ac:dyDescent="0.25">
      <c r="B18" s="91" t="s">
        <v>641</v>
      </c>
      <c r="C18" s="636"/>
      <c r="D18" s="636"/>
      <c r="E18" s="636"/>
      <c r="G18" s="627"/>
      <c r="H18" s="623"/>
      <c r="I18" s="628"/>
      <c r="J18" s="124">
        <f t="shared" si="0"/>
        <v>0</v>
      </c>
      <c r="K18" s="625"/>
      <c r="L18" s="626"/>
      <c r="N18" s="620"/>
      <c r="P18" s="119" t="e">
        <f t="shared" si="1"/>
        <v>#N/A</v>
      </c>
    </row>
    <row r="19" spans="2:16" x14ac:dyDescent="0.25">
      <c r="C19" s="614"/>
      <c r="D19" s="614"/>
      <c r="E19" s="614"/>
      <c r="G19" s="627"/>
      <c r="H19" s="623"/>
      <c r="I19" s="628"/>
      <c r="J19" s="124">
        <f t="shared" si="0"/>
        <v>0</v>
      </c>
      <c r="K19" s="625"/>
      <c r="L19" s="626"/>
      <c r="N19" s="620"/>
      <c r="P19" s="119" t="e">
        <f t="shared" si="1"/>
        <v>#N/A</v>
      </c>
    </row>
    <row r="20" spans="2:16" x14ac:dyDescent="0.25">
      <c r="B20" s="92" t="s">
        <v>642</v>
      </c>
      <c r="C20" s="106"/>
      <c r="D20" s="106">
        <f>'SYNTHESE GRAPHIQUES'!$K$8</f>
        <v>1.1602999999999999</v>
      </c>
      <c r="E20" s="106">
        <f>D20-C20</f>
        <v>1.1602999999999999</v>
      </c>
      <c r="G20" s="627"/>
      <c r="H20" s="623"/>
      <c r="I20" s="628"/>
      <c r="J20" s="124">
        <f t="shared" si="0"/>
        <v>0</v>
      </c>
      <c r="K20" s="625"/>
      <c r="L20" s="626"/>
      <c r="N20" s="620"/>
      <c r="P20" s="119" t="e">
        <f t="shared" si="1"/>
        <v>#N/A</v>
      </c>
    </row>
    <row r="21" spans="2:16" x14ac:dyDescent="0.25">
      <c r="B21" s="92" t="s">
        <v>664</v>
      </c>
      <c r="C21" s="106"/>
      <c r="D21" s="106">
        <f>D20*(1-D34)</f>
        <v>1.1602999999999999</v>
      </c>
      <c r="E21" s="106">
        <f>D21-C21</f>
        <v>1.1602999999999999</v>
      </c>
      <c r="G21" s="627"/>
      <c r="H21" s="623"/>
      <c r="I21" s="628"/>
      <c r="J21" s="124">
        <f t="shared" si="0"/>
        <v>0</v>
      </c>
      <c r="K21" s="625"/>
      <c r="L21" s="626"/>
      <c r="N21" s="620"/>
      <c r="P21" s="119" t="e">
        <f t="shared" si="1"/>
        <v>#N/A</v>
      </c>
    </row>
    <row r="22" spans="2:16" x14ac:dyDescent="0.25">
      <c r="B22" s="90" t="s">
        <v>634</v>
      </c>
      <c r="C22" s="104"/>
      <c r="D22" s="104" t="str">
        <f>'SYNTHESE GRAPHIQUES'!$L$8</f>
        <v>T</v>
      </c>
      <c r="E22" s="107" t="s">
        <v>1</v>
      </c>
      <c r="G22" s="627"/>
      <c r="H22" s="623"/>
      <c r="I22" s="628"/>
      <c r="J22" s="124">
        <f t="shared" si="0"/>
        <v>0</v>
      </c>
      <c r="K22" s="625"/>
      <c r="L22" s="626"/>
      <c r="N22" s="620"/>
      <c r="P22" s="119" t="e">
        <f t="shared" si="1"/>
        <v>#N/A</v>
      </c>
    </row>
    <row r="23" spans="2:16" x14ac:dyDescent="0.25">
      <c r="C23" s="631"/>
      <c r="D23" s="631"/>
      <c r="E23" s="631"/>
      <c r="G23" s="627"/>
      <c r="H23" s="623"/>
      <c r="I23" s="628"/>
      <c r="J23" s="124">
        <f t="shared" si="0"/>
        <v>0</v>
      </c>
      <c r="K23" s="625"/>
      <c r="L23" s="626"/>
      <c r="N23" s="620"/>
      <c r="P23" s="119" t="e">
        <f t="shared" si="1"/>
        <v>#N/A</v>
      </c>
    </row>
    <row r="24" spans="2:16" x14ac:dyDescent="0.25">
      <c r="B24" s="92" t="s">
        <v>643</v>
      </c>
      <c r="C24" s="108"/>
      <c r="D24" s="108">
        <f>'SYNTHESE GRAPHIQUES'!$K$9/100</f>
        <v>0.16674999999999998</v>
      </c>
      <c r="E24" s="109">
        <f>IF(C24&lt;&gt;0,(D24-C24)/C24,0)</f>
        <v>0</v>
      </c>
      <c r="G24" s="627"/>
      <c r="H24" s="623"/>
      <c r="I24" s="628"/>
      <c r="J24" s="124">
        <f t="shared" si="0"/>
        <v>0</v>
      </c>
      <c r="K24" s="625"/>
      <c r="L24" s="626"/>
      <c r="N24" s="620"/>
      <c r="P24" s="119" t="e">
        <f t="shared" si="1"/>
        <v>#N/A</v>
      </c>
    </row>
    <row r="25" spans="2:16" x14ac:dyDescent="0.25">
      <c r="B25" s="92" t="s">
        <v>664</v>
      </c>
      <c r="C25" s="108"/>
      <c r="D25" s="108">
        <f>D24*(1-D34)</f>
        <v>0.16674999999999998</v>
      </c>
      <c r="E25" s="109">
        <f t="shared" ref="E25" si="2">IF(C25&lt;&gt;0,(D25-C25)/C25,0)</f>
        <v>0</v>
      </c>
      <c r="G25" s="627"/>
      <c r="H25" s="623"/>
      <c r="I25" s="628"/>
      <c r="J25" s="124">
        <f t="shared" si="0"/>
        <v>0</v>
      </c>
      <c r="K25" s="625"/>
      <c r="L25" s="626"/>
      <c r="N25" s="620"/>
      <c r="P25" s="119" t="e">
        <f t="shared" si="1"/>
        <v>#N/A</v>
      </c>
    </row>
    <row r="26" spans="2:16" x14ac:dyDescent="0.25">
      <c r="C26" s="614"/>
      <c r="D26" s="614"/>
      <c r="E26" s="614"/>
      <c r="G26" s="627"/>
      <c r="H26" s="623"/>
      <c r="I26" s="628"/>
      <c r="J26" s="124">
        <f t="shared" si="0"/>
        <v>0</v>
      </c>
      <c r="K26" s="625"/>
      <c r="L26" s="626"/>
      <c r="N26" s="620"/>
      <c r="P26" s="119" t="e">
        <f t="shared" si="1"/>
        <v>#N/A</v>
      </c>
    </row>
    <row r="27" spans="2:16" x14ac:dyDescent="0.25">
      <c r="B27" s="92" t="s">
        <v>644</v>
      </c>
      <c r="C27" s="637"/>
      <c r="D27" s="637"/>
      <c r="E27" s="637"/>
      <c r="G27" s="627"/>
      <c r="H27" s="623"/>
      <c r="I27" s="628"/>
      <c r="J27" s="124">
        <f t="shared" si="0"/>
        <v>0</v>
      </c>
      <c r="K27" s="625"/>
      <c r="L27" s="626"/>
      <c r="N27" s="620"/>
      <c r="P27" s="119" t="e">
        <f t="shared" si="1"/>
        <v>#N/A</v>
      </c>
    </row>
    <row r="28" spans="2:16" x14ac:dyDescent="0.25">
      <c r="B28" s="93" t="s">
        <v>628</v>
      </c>
      <c r="C28" s="638"/>
      <c r="D28" s="634">
        <v>5.1000000000000004E-3</v>
      </c>
      <c r="E28" s="639"/>
      <c r="G28" s="627"/>
      <c r="H28" s="623"/>
      <c r="I28" s="628"/>
      <c r="J28" s="124">
        <f t="shared" si="0"/>
        <v>0</v>
      </c>
      <c r="K28" s="640"/>
      <c r="L28" s="626"/>
      <c r="N28" s="620"/>
      <c r="P28" s="119" t="e">
        <f t="shared" si="1"/>
        <v>#N/A</v>
      </c>
    </row>
    <row r="29" spans="2:16" x14ac:dyDescent="0.25">
      <c r="B29" s="93" t="s">
        <v>645</v>
      </c>
      <c r="C29" s="638"/>
      <c r="D29" s="634">
        <v>2.1299999999999999E-2</v>
      </c>
      <c r="E29" s="639"/>
      <c r="G29" s="627"/>
      <c r="H29" s="623"/>
      <c r="I29" s="628"/>
      <c r="J29" s="124">
        <f t="shared" si="0"/>
        <v>0</v>
      </c>
      <c r="K29" s="640"/>
      <c r="L29" s="626"/>
      <c r="N29" s="620"/>
      <c r="P29" s="119" t="e">
        <f>RANK(H29,$H$9:$H$29)</f>
        <v>#N/A</v>
      </c>
    </row>
    <row r="30" spans="2:16" x14ac:dyDescent="0.25">
      <c r="B30" s="93" t="s">
        <v>625</v>
      </c>
      <c r="C30" s="638"/>
      <c r="D30" s="634">
        <v>0.108</v>
      </c>
      <c r="E30" s="639"/>
      <c r="G30" s="627"/>
      <c r="H30" s="628"/>
      <c r="I30" s="628"/>
      <c r="J30" s="124">
        <f t="shared" si="0"/>
        <v>0</v>
      </c>
      <c r="K30" s="640"/>
      <c r="L30" s="626"/>
      <c r="N30" s="620"/>
    </row>
    <row r="31" spans="2:16" x14ac:dyDescent="0.25">
      <c r="B31" s="93" t="s">
        <v>626</v>
      </c>
      <c r="C31" s="638"/>
      <c r="D31" s="634"/>
      <c r="E31" s="639"/>
      <c r="G31" s="627"/>
      <c r="H31" s="628"/>
      <c r="I31" s="628"/>
      <c r="J31" s="124">
        <f t="shared" si="0"/>
        <v>0</v>
      </c>
      <c r="K31" s="640"/>
      <c r="L31" s="626"/>
      <c r="N31" s="620"/>
    </row>
    <row r="32" spans="2:16" x14ac:dyDescent="0.25">
      <c r="C32" s="614"/>
      <c r="D32" s="614"/>
      <c r="E32" s="614"/>
      <c r="G32" s="627"/>
      <c r="H32" s="628"/>
      <c r="I32" s="628"/>
      <c r="J32" s="124">
        <f t="shared" si="0"/>
        <v>0</v>
      </c>
      <c r="K32" s="640"/>
      <c r="L32" s="626"/>
      <c r="N32" s="620"/>
    </row>
    <row r="33" spans="2:14" ht="15.75" thickBot="1" x14ac:dyDescent="0.3">
      <c r="B33" s="92" t="s">
        <v>646</v>
      </c>
      <c r="C33" s="637"/>
      <c r="D33" s="637"/>
      <c r="E33" s="637"/>
      <c r="G33" s="641"/>
      <c r="H33" s="642"/>
      <c r="I33" s="643"/>
      <c r="J33" s="125">
        <f t="shared" si="0"/>
        <v>0</v>
      </c>
      <c r="K33" s="644"/>
      <c r="L33" s="645"/>
      <c r="N33" s="620"/>
    </row>
    <row r="34" spans="2:14" x14ac:dyDescent="0.25">
      <c r="B34" s="93" t="s">
        <v>647</v>
      </c>
      <c r="C34" s="117"/>
      <c r="D34" s="646">
        <v>0</v>
      </c>
      <c r="E34" s="647"/>
    </row>
    <row r="35" spans="2:14" x14ac:dyDescent="0.25">
      <c r="B35" s="93" t="s">
        <v>648</v>
      </c>
      <c r="C35" s="117"/>
      <c r="D35" s="646">
        <v>0</v>
      </c>
      <c r="E35" s="647"/>
    </row>
    <row r="36" spans="2:14" x14ac:dyDescent="0.25">
      <c r="B36" s="93" t="s">
        <v>649</v>
      </c>
      <c r="C36" s="117"/>
      <c r="D36" s="646">
        <v>0.75</v>
      </c>
      <c r="E36" s="647"/>
      <c r="G36" s="233" t="s">
        <v>661</v>
      </c>
      <c r="H36" s="233"/>
    </row>
    <row r="37" spans="2:14" x14ac:dyDescent="0.25">
      <c r="B37" s="93" t="s">
        <v>662</v>
      </c>
      <c r="C37" s="117"/>
      <c r="D37" s="646">
        <v>0.25</v>
      </c>
      <c r="E37" s="647"/>
      <c r="G37" s="126" t="str">
        <f ca="1">OFFSET($G$8,MATCH(1,$P$9:$P$33,0),0)</f>
        <v>calibrage</v>
      </c>
      <c r="H37" s="127">
        <f ca="1">OFFSET($H$8,MATCH(1,$P$9:$P$33,0),0)/SUM($H$9:$H$33)</f>
        <v>0.625</v>
      </c>
      <c r="L37" s="304" t="s">
        <v>40</v>
      </c>
    </row>
    <row r="38" spans="2:14" x14ac:dyDescent="0.25">
      <c r="B38" s="94" t="s">
        <v>666</v>
      </c>
      <c r="C38" s="110"/>
      <c r="D38" s="110">
        <f>SUM(D34:D37)</f>
        <v>1</v>
      </c>
      <c r="E38" s="110">
        <f>IF(C38&lt;&gt;0,(D38-C38)/C38,0)</f>
        <v>0</v>
      </c>
      <c r="G38" s="126" t="str">
        <f ca="1">OFFSET($G$8,MATCH(2,$P$9:$P$33,0),0)</f>
        <v>conditionnement=&gt;calibrage bocaux</v>
      </c>
      <c r="H38" s="127">
        <f ca="1">OFFSET($H$8,MATCH(2,$P$9:$P$33,0),0)/SUM($H$9:$H$33)</f>
        <v>0.37499999999999994</v>
      </c>
    </row>
    <row r="39" spans="2:14" x14ac:dyDescent="0.25">
      <c r="B39" s="94" t="s">
        <v>665</v>
      </c>
      <c r="C39" s="106"/>
      <c r="D39" s="106">
        <f>D38*D20</f>
        <v>1.1602999999999999</v>
      </c>
      <c r="E39" s="106">
        <f>D39-C39</f>
        <v>1.1602999999999999</v>
      </c>
      <c r="G39" s="126" t="e">
        <f ca="1">OFFSET($G$8,MATCH(3,$P$9:$P$33,0),0)</f>
        <v>#N/A</v>
      </c>
      <c r="H39" s="127" t="e">
        <f ca="1">OFFSET($H$8,MATCH(3,$P$9:$P$33,0),0)/SUM($H$9:$H$33)</f>
        <v>#N/A</v>
      </c>
    </row>
    <row r="40" spans="2:14" x14ac:dyDescent="0.25">
      <c r="C40" s="631"/>
      <c r="D40" s="631"/>
      <c r="E40" s="631"/>
      <c r="H40" s="128" t="e">
        <f ca="1">SUM(H37:H39)</f>
        <v>#N/A</v>
      </c>
    </row>
    <row r="41" spans="2:14" ht="15.75" x14ac:dyDescent="0.25">
      <c r="B41" s="95" t="s">
        <v>650</v>
      </c>
      <c r="C41" s="648"/>
      <c r="D41" s="648"/>
      <c r="E41" s="648"/>
    </row>
    <row r="42" spans="2:14" x14ac:dyDescent="0.25">
      <c r="C42" s="614"/>
      <c r="D42" s="614"/>
      <c r="E42" s="614"/>
    </row>
    <row r="43" spans="2:14" x14ac:dyDescent="0.25">
      <c r="B43" s="96" t="s">
        <v>651</v>
      </c>
      <c r="C43" s="111"/>
      <c r="D43" s="111">
        <f>'SYNTHESE EXCEL'!L86</f>
        <v>7456.0427836349591</v>
      </c>
      <c r="E43" s="111">
        <f>D43-C43</f>
        <v>7456.0427836349591</v>
      </c>
      <c r="L43" s="304" t="s">
        <v>40</v>
      </c>
    </row>
    <row r="44" spans="2:14" x14ac:dyDescent="0.25">
      <c r="B44" s="97" t="s">
        <v>667</v>
      </c>
      <c r="C44" s="111"/>
      <c r="D44" s="111">
        <f>SUM('SYNTHESE EXCEL'!L87:L94)</f>
        <v>11557.542783634957</v>
      </c>
      <c r="E44" s="111">
        <f t="shared" ref="E44:E45" si="3">D44-C44</f>
        <v>11557.542783634957</v>
      </c>
    </row>
    <row r="45" spans="2:14" x14ac:dyDescent="0.25">
      <c r="B45" s="96" t="s">
        <v>668</v>
      </c>
      <c r="C45" s="111"/>
      <c r="D45" s="111">
        <f>'SYNTHESE EXCEL'!L95</f>
        <v>-4101.5</v>
      </c>
      <c r="E45" s="111">
        <f t="shared" si="3"/>
        <v>-4101.5</v>
      </c>
    </row>
    <row r="46" spans="2:14" x14ac:dyDescent="0.25">
      <c r="C46" s="614"/>
      <c r="D46" s="614"/>
      <c r="E46" s="614"/>
    </row>
    <row r="47" spans="2:14" x14ac:dyDescent="0.25">
      <c r="B47" s="96" t="s">
        <v>652</v>
      </c>
      <c r="C47" s="112"/>
      <c r="D47" s="112">
        <f>'SYNTHESE EXCEL'!$L$97/100</f>
        <v>2.9824171134539838E-2</v>
      </c>
      <c r="E47" s="113">
        <f>IF(C47&lt;&gt;0,(D47-C47)/C47,0)</f>
        <v>0</v>
      </c>
    </row>
    <row r="48" spans="2:14" x14ac:dyDescent="0.25">
      <c r="C48" s="614"/>
      <c r="D48" s="614"/>
      <c r="E48" s="614"/>
    </row>
    <row r="49" spans="2:8" x14ac:dyDescent="0.25">
      <c r="B49" s="96" t="s">
        <v>653</v>
      </c>
      <c r="C49" s="112"/>
      <c r="D49" s="112"/>
      <c r="E49" s="112"/>
    </row>
    <row r="50" spans="2:8" x14ac:dyDescent="0.25">
      <c r="B50" s="93" t="s">
        <v>534</v>
      </c>
      <c r="C50" s="114"/>
      <c r="D50" s="114">
        <f>IF('SYNTHESE EXCEL'!L87&gt;0,'SYNTHESE EXCEL'!L87/SUM('SYNTHESE EXCEL'!$L$87:$L$95),0)</f>
        <v>1.0637971313624397</v>
      </c>
      <c r="E50" s="649"/>
    </row>
    <row r="51" spans="2:8" x14ac:dyDescent="0.25">
      <c r="B51" s="93" t="s">
        <v>535</v>
      </c>
      <c r="C51" s="114"/>
      <c r="D51" s="114">
        <f>IF('SYNTHESE EXCEL'!L88&gt;0,'SYNTHESE EXCEL'!L88/SUM('SYNTHESE EXCEL'!$L$87:$L$95),0)</f>
        <v>3.0190327010895007E-2</v>
      </c>
      <c r="E51" s="649"/>
    </row>
    <row r="52" spans="2:8" x14ac:dyDescent="0.25">
      <c r="B52" s="93" t="s">
        <v>34</v>
      </c>
      <c r="C52" s="114"/>
      <c r="D52" s="114">
        <f>IF('SYNTHESE EXCEL'!L89&gt;0,'SYNTHESE EXCEL'!L89/SUM('SYNTHESE EXCEL'!$L$87:$L$95),0)</f>
        <v>5.5453798221906962E-3</v>
      </c>
      <c r="E52" s="649"/>
    </row>
    <row r="53" spans="2:8" x14ac:dyDescent="0.25">
      <c r="B53" s="93" t="s">
        <v>35</v>
      </c>
      <c r="C53" s="114"/>
      <c r="D53" s="114">
        <f>IF('SYNTHESE EXCEL'!L90&gt;0,'SYNTHESE EXCEL'!L90/SUM('SYNTHESE EXCEL'!$L$87:$L$95),0)</f>
        <v>0</v>
      </c>
      <c r="E53" s="649"/>
    </row>
    <row r="54" spans="2:8" x14ac:dyDescent="0.25">
      <c r="B54" s="93" t="s">
        <v>536</v>
      </c>
      <c r="C54" s="114"/>
      <c r="D54" s="114">
        <f>IF('SYNTHESE EXCEL'!L91&gt;0,'SYNTHESE EXCEL'!L91/SUM('SYNTHESE EXCEL'!$L$87:$L$95),0)</f>
        <v>0</v>
      </c>
      <c r="E54" s="649"/>
    </row>
    <row r="55" spans="2:8" x14ac:dyDescent="0.25">
      <c r="B55" s="93" t="s">
        <v>36</v>
      </c>
      <c r="C55" s="114"/>
      <c r="D55" s="114">
        <f>IF('SYNTHESE EXCEL'!L92&gt;0,'SYNTHESE EXCEL'!L92/SUM('SYNTHESE EXCEL'!$L$87:$L$95),0)</f>
        <v>4.9876226919407275E-3</v>
      </c>
      <c r="E55" s="649"/>
      <c r="G55" s="88" t="s">
        <v>40</v>
      </c>
    </row>
    <row r="56" spans="2:8" x14ac:dyDescent="0.25">
      <c r="B56" s="93" t="s">
        <v>654</v>
      </c>
      <c r="C56" s="114"/>
      <c r="D56" s="114">
        <f>IF('SYNTHESE EXCEL'!L93&gt;0,'SYNTHESE EXCEL'!L93/SUM('SYNTHESE EXCEL'!$L$87:$L$95),0)</f>
        <v>0.39015548277736822</v>
      </c>
      <c r="E56" s="649"/>
    </row>
    <row r="57" spans="2:8" x14ac:dyDescent="0.25">
      <c r="B57" s="93" t="s">
        <v>538</v>
      </c>
      <c r="C57" s="114"/>
      <c r="D57" s="114">
        <f>IF('SYNTHESE EXCEL'!L94&gt;0,'SYNTHESE EXCEL'!L94/SUM('SYNTHESE EXCEL'!$L$87:$L$95),0)</f>
        <v>5.5414783953072977E-2</v>
      </c>
      <c r="E57" s="649"/>
      <c r="G57" s="234" t="s">
        <v>646</v>
      </c>
      <c r="H57" s="235"/>
    </row>
    <row r="58" spans="2:8" x14ac:dyDescent="0.25">
      <c r="B58" s="93" t="s">
        <v>539</v>
      </c>
      <c r="C58" s="114"/>
      <c r="D58" s="114">
        <f>IF('SYNTHESE EXCEL'!L95&gt;0,'SYNTHESE EXCEL'!L95/SUM('SYNTHESE EXCEL'!$L$87:$L$95),0)</f>
        <v>0</v>
      </c>
      <c r="E58" s="649"/>
    </row>
    <row r="59" spans="2:8" x14ac:dyDescent="0.25">
      <c r="C59" s="614"/>
      <c r="D59" s="614"/>
      <c r="E59" s="614"/>
    </row>
    <row r="60" spans="2:8" x14ac:dyDescent="0.25">
      <c r="B60" s="98" t="s">
        <v>655</v>
      </c>
      <c r="C60" s="115"/>
      <c r="D60" s="115">
        <f>'SYNTHESE EXCEL'!L111</f>
        <v>26.416010099574734</v>
      </c>
      <c r="E60" s="115">
        <f>D60-C60</f>
        <v>26.416010099574734</v>
      </c>
    </row>
    <row r="61" spans="2:8" x14ac:dyDescent="0.25">
      <c r="C61" s="614"/>
      <c r="D61" s="614"/>
      <c r="E61" s="614"/>
    </row>
    <row r="62" spans="2:8" x14ac:dyDescent="0.25">
      <c r="B62" s="98" t="s">
        <v>656</v>
      </c>
      <c r="C62" s="116"/>
      <c r="D62" s="116">
        <f>'SYNTHESE EXCEL'!L119</f>
        <v>3.522134679943298</v>
      </c>
      <c r="E62" s="116">
        <f>D62-C62</f>
        <v>3.522134679943298</v>
      </c>
    </row>
    <row r="63" spans="2:8" x14ac:dyDescent="0.25">
      <c r="C63" s="614"/>
      <c r="D63" s="614"/>
      <c r="E63" s="614"/>
    </row>
    <row r="64" spans="2:8" x14ac:dyDescent="0.25">
      <c r="B64" s="98" t="s">
        <v>653</v>
      </c>
      <c r="C64" s="650"/>
      <c r="D64" s="650"/>
      <c r="E64" s="650"/>
    </row>
    <row r="65" spans="2:5" x14ac:dyDescent="0.25">
      <c r="B65" s="93" t="s">
        <v>534</v>
      </c>
      <c r="C65" s="117"/>
      <c r="D65" s="117">
        <f>IF('SYNTHESE EXCEL'!L112&gt;0,'SYNTHESE EXCEL'!L112/'SYNTHESE EXCEL'!$L$111,0)</f>
        <v>0.98400053553390188</v>
      </c>
      <c r="E65" s="647"/>
    </row>
    <row r="66" spans="2:5" x14ac:dyDescent="0.25">
      <c r="B66" s="93" t="s">
        <v>535</v>
      </c>
      <c r="C66" s="117"/>
      <c r="D66" s="117">
        <f>IF('SYNTHESE EXCEL'!L113&gt;0,'SYNTHESE EXCEL'!L113/'SYNTHESE EXCEL'!$L$111,0)</f>
        <v>7.2882076457938972E-3</v>
      </c>
      <c r="E66" s="647"/>
    </row>
    <row r="67" spans="2:5" x14ac:dyDescent="0.25">
      <c r="B67" s="93" t="s">
        <v>34</v>
      </c>
      <c r="C67" s="117"/>
      <c r="D67" s="117">
        <f>IF('SYNTHESE EXCEL'!L114&gt;0,'SYNTHESE EXCEL'!L114/'SYNTHESE EXCEL'!$L$111,0)</f>
        <v>8.1912629005856784E-3</v>
      </c>
      <c r="E67" s="647"/>
    </row>
    <row r="68" spans="2:5" x14ac:dyDescent="0.25">
      <c r="B68" s="93" t="s">
        <v>35</v>
      </c>
      <c r="C68" s="117"/>
      <c r="D68" s="117">
        <f>IF('SYNTHESE EXCEL'!L115&gt;0,'SYNTHESE EXCEL'!L115/'SYNTHESE EXCEL'!$L$111,0)</f>
        <v>0</v>
      </c>
      <c r="E68" s="647"/>
    </row>
    <row r="69" spans="2:5" x14ac:dyDescent="0.25">
      <c r="B69" s="93" t="s">
        <v>536</v>
      </c>
      <c r="C69" s="117"/>
      <c r="D69" s="117">
        <f>IF('SYNTHESE EXCEL'!L116&gt;0,'SYNTHESE EXCEL'!L116/'SYNTHESE EXCEL'!$L$111,0)</f>
        <v>0</v>
      </c>
      <c r="E69" s="647"/>
    </row>
    <row r="70" spans="2:5" ht="15.75" thickBot="1" x14ac:dyDescent="0.3">
      <c r="B70" s="93" t="s">
        <v>541</v>
      </c>
      <c r="C70" s="118"/>
      <c r="D70" s="118">
        <f>IF('SYNTHESE EXCEL'!L117&gt;0,'SYNTHESE EXCEL'!L117/'SYNTHESE EXCEL'!$L$111,0)</f>
        <v>5.1999391971844892E-4</v>
      </c>
      <c r="E70" s="651"/>
    </row>
  </sheetData>
  <sheetProtection algorithmName="SHA-512" hashValue="aDwsUrsL3WezKuMSS+3Pn3ktsSVSFwA98gVfTc9cI2ChNOTAa7oHyBpKtWljXxLcZidMcSOh33CTj/xh6IBf8A==" saltValue="axI2tLcisHXETD/G4oj9uA==" spinCount="100000" sheet="1" objects="1" scenarios="1"/>
  <mergeCells count="5">
    <mergeCell ref="G6:L6"/>
    <mergeCell ref="G36:H36"/>
    <mergeCell ref="G57:H57"/>
    <mergeCell ref="B1:C1"/>
    <mergeCell ref="B2:E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12"/>
  <sheetViews>
    <sheetView showGridLines="0" workbookViewId="0">
      <selection activeCell="B7" sqref="B7"/>
    </sheetView>
  </sheetViews>
  <sheetFormatPr baseColWidth="10" defaultRowHeight="15" x14ac:dyDescent="0.25"/>
  <cols>
    <col min="1" max="1" width="4.85546875" customWidth="1"/>
    <col min="2" max="2" width="30.28515625" bestFit="1" customWidth="1"/>
    <col min="4" max="4" width="3.28515625" customWidth="1"/>
  </cols>
  <sheetData>
    <row r="1" spans="2:8" x14ac:dyDescent="0.25">
      <c r="F1" s="18"/>
      <c r="G1" s="18"/>
      <c r="H1" s="18"/>
    </row>
    <row r="2" spans="2:8" x14ac:dyDescent="0.25">
      <c r="B2" s="2" t="s">
        <v>17</v>
      </c>
      <c r="F2" s="18"/>
      <c r="G2" s="18"/>
      <c r="H2" s="18"/>
    </row>
    <row r="3" spans="2:8" x14ac:dyDescent="0.25">
      <c r="B3" s="1" t="s">
        <v>18</v>
      </c>
      <c r="F3" s="18"/>
      <c r="G3" s="18"/>
      <c r="H3" s="18"/>
    </row>
    <row r="4" spans="2:8" x14ac:dyDescent="0.25">
      <c r="B4" s="1" t="s">
        <v>19</v>
      </c>
      <c r="F4" s="18"/>
      <c r="G4" s="18"/>
      <c r="H4" s="18"/>
    </row>
    <row r="5" spans="2:8" x14ac:dyDescent="0.25">
      <c r="D5" s="18"/>
      <c r="E5" s="18"/>
      <c r="F5" s="18"/>
      <c r="G5" s="18"/>
      <c r="H5" s="18"/>
    </row>
    <row r="6" spans="2:8" x14ac:dyDescent="0.25">
      <c r="B6" s="2" t="s">
        <v>528</v>
      </c>
      <c r="D6" s="18"/>
      <c r="E6" s="18"/>
      <c r="F6" s="18"/>
      <c r="G6" s="18"/>
      <c r="H6" s="18"/>
    </row>
    <row r="7" spans="2:8" x14ac:dyDescent="0.25">
      <c r="B7" s="5" t="str">
        <f>'ETAPE 1'!$B$4</f>
        <v>réception</v>
      </c>
      <c r="D7" s="18"/>
      <c r="E7" s="18"/>
      <c r="F7" s="18"/>
      <c r="G7" s="18"/>
      <c r="H7" s="18"/>
    </row>
    <row r="8" spans="2:8" x14ac:dyDescent="0.25">
      <c r="B8" s="5" t="str">
        <f>'ETAPE 2'!$B$4</f>
        <v>calibration/lavage</v>
      </c>
      <c r="D8" s="18"/>
      <c r="E8" s="18"/>
      <c r="F8" s="18"/>
      <c r="G8" s="18"/>
      <c r="H8" s="18"/>
    </row>
    <row r="9" spans="2:8" x14ac:dyDescent="0.25">
      <c r="B9" s="5" t="str">
        <f>'ETAPE 3'!$B$4</f>
        <v>séchage</v>
      </c>
      <c r="D9" s="18"/>
      <c r="E9" s="18"/>
      <c r="F9" s="18"/>
      <c r="G9" s="18"/>
      <c r="H9" s="18"/>
    </row>
    <row r="10" spans="2:8" x14ac:dyDescent="0.25">
      <c r="B10" s="5" t="str">
        <f>'ETAPE 4'!$B$4</f>
        <v>conditionnement</v>
      </c>
      <c r="D10" s="18"/>
      <c r="E10" s="18"/>
      <c r="F10" s="18"/>
      <c r="G10" s="18"/>
      <c r="H10" s="18"/>
    </row>
    <row r="11" spans="2:8" x14ac:dyDescent="0.25">
      <c r="B11" s="5">
        <f>'ETAPE 5'!$B$4</f>
        <v>0</v>
      </c>
    </row>
    <row r="12" spans="2:8" x14ac:dyDescent="0.25">
      <c r="B12" s="5">
        <f>'ETAPE 6'!$B$4</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23"/>
  <sheetViews>
    <sheetView showGridLines="0" zoomScaleNormal="100" workbookViewId="0"/>
  </sheetViews>
  <sheetFormatPr baseColWidth="10" defaultRowHeight="15" x14ac:dyDescent="0.25"/>
  <cols>
    <col min="1" max="1" width="4.28515625" style="62" customWidth="1"/>
    <col min="2" max="2" width="50.5703125" style="62" customWidth="1"/>
    <col min="3" max="3" width="34.5703125" style="62" bestFit="1" customWidth="1"/>
    <col min="4" max="6" width="34.5703125" style="62" customWidth="1"/>
    <col min="7" max="16384" width="11.42578125" style="62"/>
  </cols>
  <sheetData>
    <row r="1" spans="2:12" ht="24" thickBot="1" x14ac:dyDescent="0.4">
      <c r="B1" s="164" t="s">
        <v>771</v>
      </c>
      <c r="C1" s="165"/>
    </row>
    <row r="2" spans="2:12" ht="15.75" thickBot="1" x14ac:dyDescent="0.3"/>
    <row r="3" spans="2:12" ht="45" customHeight="1" thickBot="1" x14ac:dyDescent="0.3">
      <c r="B3" s="63" t="s">
        <v>693</v>
      </c>
      <c r="D3" s="166" t="s">
        <v>772</v>
      </c>
      <c r="E3" s="167"/>
      <c r="F3" s="168"/>
      <c r="G3" s="64"/>
      <c r="H3" s="84"/>
      <c r="I3" s="64"/>
      <c r="J3" s="64"/>
    </row>
    <row r="4" spans="2:12" ht="15.75" customHeight="1" thickBot="1" x14ac:dyDescent="0.3">
      <c r="C4" s="64"/>
      <c r="D4" s="169"/>
      <c r="E4" s="170"/>
      <c r="F4" s="171"/>
      <c r="G4" s="64"/>
      <c r="H4" s="84"/>
    </row>
    <row r="5" spans="2:12" ht="15.75" thickBot="1" x14ac:dyDescent="0.3">
      <c r="B5" s="65" t="s">
        <v>694</v>
      </c>
      <c r="C5" s="72"/>
      <c r="D5" s="172"/>
      <c r="E5" s="173"/>
      <c r="F5" s="174"/>
      <c r="G5" s="66"/>
      <c r="H5" s="84"/>
    </row>
    <row r="6" spans="2:12" ht="30" customHeight="1" x14ac:dyDescent="0.25">
      <c r="B6" s="133" t="s">
        <v>695</v>
      </c>
      <c r="C6" s="130" t="s">
        <v>752</v>
      </c>
      <c r="D6" s="166" t="s">
        <v>757</v>
      </c>
      <c r="E6" s="167"/>
      <c r="F6" s="168"/>
      <c r="G6" s="64"/>
      <c r="H6" s="64"/>
      <c r="I6" s="64"/>
      <c r="J6" s="64"/>
      <c r="K6" s="64"/>
      <c r="L6" s="64"/>
    </row>
    <row r="7" spans="2:12" ht="15" customHeight="1" x14ac:dyDescent="0.25">
      <c r="B7" s="67" t="s">
        <v>696</v>
      </c>
      <c r="C7" s="131" t="s">
        <v>715</v>
      </c>
      <c r="D7" s="169"/>
      <c r="E7" s="170"/>
      <c r="F7" s="171"/>
      <c r="G7" s="64"/>
      <c r="H7" s="64"/>
      <c r="I7" s="64"/>
      <c r="J7" s="64"/>
      <c r="K7" s="64"/>
      <c r="L7" s="64"/>
    </row>
    <row r="8" spans="2:12" x14ac:dyDescent="0.25">
      <c r="B8" s="68" t="s">
        <v>697</v>
      </c>
      <c r="C8" s="72"/>
      <c r="D8" s="169"/>
      <c r="E8" s="170"/>
      <c r="F8" s="171"/>
      <c r="G8" s="64"/>
      <c r="H8" s="64"/>
      <c r="I8" s="64"/>
      <c r="J8" s="64"/>
      <c r="K8" s="64"/>
      <c r="L8" s="64"/>
    </row>
    <row r="9" spans="2:12" ht="15" customHeight="1" x14ac:dyDescent="0.25">
      <c r="B9" s="69" t="s">
        <v>698</v>
      </c>
      <c r="C9" s="132" t="s">
        <v>753</v>
      </c>
      <c r="D9" s="169"/>
      <c r="E9" s="170"/>
      <c r="F9" s="171"/>
      <c r="G9" s="64"/>
      <c r="H9" s="64"/>
      <c r="I9" s="64"/>
      <c r="J9" s="64"/>
      <c r="K9" s="64"/>
      <c r="L9" s="64"/>
    </row>
    <row r="10" spans="2:12" ht="30" x14ac:dyDescent="0.25">
      <c r="B10" s="134" t="s">
        <v>699</v>
      </c>
      <c r="C10" s="131" t="s">
        <v>716</v>
      </c>
      <c r="D10" s="169"/>
      <c r="E10" s="170"/>
      <c r="F10" s="171"/>
      <c r="G10" s="64"/>
      <c r="H10" s="64"/>
      <c r="I10" s="64"/>
      <c r="J10" s="64"/>
      <c r="K10" s="64"/>
      <c r="L10" s="64"/>
    </row>
    <row r="11" spans="2:12" ht="15.75" thickBot="1" x14ac:dyDescent="0.3">
      <c r="B11" s="135" t="s">
        <v>814</v>
      </c>
      <c r="D11" s="169"/>
      <c r="E11" s="170"/>
      <c r="F11" s="171"/>
    </row>
    <row r="12" spans="2:12" x14ac:dyDescent="0.25">
      <c r="D12" s="169"/>
      <c r="E12" s="170"/>
      <c r="F12" s="171"/>
    </row>
    <row r="13" spans="2:12" ht="43.5" customHeight="1" thickBot="1" x14ac:dyDescent="0.3">
      <c r="D13" s="172"/>
      <c r="E13" s="173"/>
      <c r="F13" s="174"/>
    </row>
    <row r="14" spans="2:12" x14ac:dyDescent="0.25">
      <c r="D14" s="83" t="s">
        <v>758</v>
      </c>
    </row>
    <row r="15" spans="2:12" ht="15.75" thickBot="1" x14ac:dyDescent="0.3"/>
    <row r="16" spans="2:12" s="70" customFormat="1" ht="15.75" x14ac:dyDescent="0.25">
      <c r="B16" s="82" t="s">
        <v>754</v>
      </c>
      <c r="C16" s="176" t="s">
        <v>755</v>
      </c>
      <c r="D16" s="176"/>
      <c r="E16" s="78" t="s">
        <v>700</v>
      </c>
      <c r="F16" s="75"/>
    </row>
    <row r="17" spans="2:6" ht="63" customHeight="1" x14ac:dyDescent="0.25">
      <c r="B17" s="73" t="s">
        <v>701</v>
      </c>
      <c r="C17" s="175" t="s">
        <v>756</v>
      </c>
      <c r="D17" s="175"/>
      <c r="E17" s="79" t="s">
        <v>750</v>
      </c>
      <c r="F17" s="76"/>
    </row>
    <row r="18" spans="2:6" ht="90" customHeight="1" x14ac:dyDescent="0.25">
      <c r="B18" s="73" t="s">
        <v>748</v>
      </c>
      <c r="C18" s="175" t="s">
        <v>759</v>
      </c>
      <c r="D18" s="175"/>
      <c r="E18" s="80"/>
      <c r="F18" s="77"/>
    </row>
    <row r="19" spans="2:6" ht="60" customHeight="1" thickBot="1" x14ac:dyDescent="0.3">
      <c r="B19" s="74" t="s">
        <v>749</v>
      </c>
      <c r="C19" s="177" t="s">
        <v>760</v>
      </c>
      <c r="D19" s="177"/>
      <c r="E19" s="81"/>
      <c r="F19" s="77"/>
    </row>
    <row r="21" spans="2:6" ht="15" customHeight="1" x14ac:dyDescent="0.25">
      <c r="B21" s="163"/>
      <c r="C21" s="163"/>
      <c r="D21" s="163"/>
      <c r="E21" s="163"/>
    </row>
    <row r="22" spans="2:6" x14ac:dyDescent="0.25">
      <c r="B22" s="163"/>
      <c r="C22" s="163"/>
      <c r="D22" s="163"/>
      <c r="E22" s="163"/>
    </row>
    <row r="23" spans="2:6" ht="33" customHeight="1" x14ac:dyDescent="0.25">
      <c r="B23" s="163"/>
      <c r="C23" s="163"/>
      <c r="D23" s="163"/>
      <c r="E23" s="163"/>
    </row>
  </sheetData>
  <sheetProtection algorithmName="SHA-512" hashValue="l7XOZXPoDsJ5kg7EYFl/LqrpZPMvFacf5V5KcVFvDfxl9qz6pKICWJ/yE0Wt4KuVHhb3HlbJcm2r05bRrcoRtA==" saltValue="vx+WNinbp5jqrHav0eRenw==" spinCount="100000" sheet="1" objects="1" scenarios="1"/>
  <mergeCells count="8">
    <mergeCell ref="B21:E23"/>
    <mergeCell ref="B1:C1"/>
    <mergeCell ref="D3:F5"/>
    <mergeCell ref="D6:F13"/>
    <mergeCell ref="C17:D17"/>
    <mergeCell ref="C16:D16"/>
    <mergeCell ref="C18:D18"/>
    <mergeCell ref="C19:D19"/>
  </mergeCells>
  <hyperlinks>
    <hyperlink ref="C7" r:id="rId1"/>
    <hyperlink ref="C10"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P110"/>
  <sheetViews>
    <sheetView showGridLines="0" zoomScaleNormal="100" workbookViewId="0"/>
  </sheetViews>
  <sheetFormatPr baseColWidth="10" defaultRowHeight="15" outlineLevelRow="1" x14ac:dyDescent="0.25"/>
  <cols>
    <col min="1" max="1" width="4.7109375" style="239" customWidth="1"/>
    <col min="2" max="2" width="23.28515625" style="238" customWidth="1"/>
    <col min="3" max="3" width="2.28515625" style="238" customWidth="1"/>
    <col min="4" max="4" width="11.42578125" style="238" customWidth="1"/>
    <col min="5" max="5" width="10.85546875" style="238" customWidth="1"/>
    <col min="6" max="6" width="2.28515625" style="238" customWidth="1"/>
    <col min="7" max="7" width="18.7109375" style="238" customWidth="1"/>
    <col min="8" max="8" width="11.42578125" style="238"/>
    <col min="9" max="9" width="8.28515625" style="238" bestFit="1" customWidth="1"/>
    <col min="10" max="10" width="18.7109375" style="238" customWidth="1"/>
    <col min="11" max="11" width="11.42578125" style="238"/>
    <col min="12" max="12" width="8.28515625" style="238" bestFit="1" customWidth="1"/>
    <col min="13" max="13" width="11.42578125" style="238"/>
    <col min="14" max="14" width="12" style="238" bestFit="1" customWidth="1"/>
    <col min="15" max="16384" width="11.42578125" style="238"/>
  </cols>
  <sheetData>
    <row r="1" spans="1:120" ht="24" thickBot="1" x14ac:dyDescent="0.4">
      <c r="A1" s="236"/>
      <c r="B1" s="178" t="s">
        <v>728</v>
      </c>
      <c r="C1" s="179"/>
      <c r="D1" s="179"/>
      <c r="E1" s="179"/>
      <c r="F1" s="179"/>
      <c r="G1" s="180"/>
      <c r="H1" s="237"/>
    </row>
    <row r="2" spans="1:120" s="239" customFormat="1" ht="11.25" customHeight="1" thickBot="1" x14ac:dyDescent="0.3">
      <c r="B2" s="240"/>
      <c r="C2" s="240"/>
      <c r="D2" s="240"/>
      <c r="E2" s="240"/>
      <c r="F2" s="240"/>
      <c r="G2" s="240"/>
      <c r="H2" s="240"/>
      <c r="I2" s="240"/>
      <c r="J2" s="240"/>
      <c r="K2" s="240"/>
      <c r="L2" s="240"/>
      <c r="M2" s="240"/>
      <c r="N2" s="240"/>
    </row>
    <row r="3" spans="1:120" s="239" customFormat="1" ht="33" customHeight="1" thickBot="1" x14ac:dyDescent="0.3">
      <c r="B3" s="241" t="s">
        <v>720</v>
      </c>
      <c r="C3" s="242"/>
      <c r="D3" s="242"/>
      <c r="E3" s="242"/>
      <c r="F3" s="242"/>
      <c r="G3" s="242"/>
      <c r="H3" s="242"/>
      <c r="I3" s="242"/>
      <c r="J3" s="242"/>
      <c r="K3" s="242"/>
      <c r="L3" s="243"/>
      <c r="M3" s="244"/>
      <c r="N3" s="244"/>
    </row>
    <row r="4" spans="1:120" s="239" customFormat="1" ht="15" customHeight="1" thickBot="1" x14ac:dyDescent="0.3">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row>
    <row r="5" spans="1:120" s="239" customFormat="1" ht="30.75" customHeight="1" thickBot="1" x14ac:dyDescent="0.3">
      <c r="B5" s="246" t="s">
        <v>773</v>
      </c>
      <c r="C5" s="247" t="s">
        <v>790</v>
      </c>
      <c r="D5" s="248"/>
      <c r="E5" s="248"/>
      <c r="F5" s="248"/>
      <c r="G5" s="248"/>
      <c r="H5" s="248"/>
      <c r="I5" s="248"/>
      <c r="J5" s="248"/>
      <c r="K5" s="248"/>
      <c r="L5" s="249"/>
      <c r="M5" s="250"/>
      <c r="N5" s="250"/>
      <c r="O5" s="250"/>
      <c r="P5" s="250"/>
      <c r="Q5" s="250"/>
      <c r="R5" s="250"/>
      <c r="S5" s="250"/>
      <c r="T5" s="250"/>
      <c r="U5" s="250"/>
      <c r="V5" s="250"/>
      <c r="W5" s="250"/>
    </row>
    <row r="6" spans="1:120" ht="15.75" outlineLevel="1" thickBot="1" x14ac:dyDescent="0.3">
      <c r="A6" s="236"/>
    </row>
    <row r="7" spans="1:120" ht="30" customHeight="1" outlineLevel="1" x14ac:dyDescent="0.25">
      <c r="A7" s="236"/>
      <c r="B7" s="251" t="s">
        <v>532</v>
      </c>
      <c r="C7" s="252"/>
      <c r="D7" s="253"/>
      <c r="G7" s="251" t="s">
        <v>533</v>
      </c>
      <c r="H7" s="252"/>
      <c r="I7" s="253"/>
      <c r="K7" s="254" t="s">
        <v>774</v>
      </c>
      <c r="L7" s="255"/>
      <c r="M7" s="255"/>
      <c r="N7" s="256"/>
    </row>
    <row r="8" spans="1:120" ht="15.75" outlineLevel="1" thickBot="1" x14ac:dyDescent="0.3">
      <c r="A8" s="236"/>
      <c r="B8" s="257">
        <v>250000</v>
      </c>
      <c r="C8" s="258" t="s">
        <v>6</v>
      </c>
      <c r="D8" s="259"/>
      <c r="G8" s="260">
        <v>1000</v>
      </c>
      <c r="H8" s="261"/>
      <c r="I8" s="262" t="s">
        <v>706</v>
      </c>
      <c r="K8" s="263"/>
      <c r="L8" s="264"/>
      <c r="M8" s="264"/>
      <c r="N8" s="265"/>
    </row>
    <row r="9" spans="1:120" ht="15.75" outlineLevel="1" thickBot="1" x14ac:dyDescent="0.3">
      <c r="A9" s="236"/>
      <c r="K9" s="263"/>
      <c r="L9" s="264"/>
      <c r="M9" s="264"/>
      <c r="N9" s="265"/>
    </row>
    <row r="10" spans="1:120" ht="30" customHeight="1" outlineLevel="1" x14ac:dyDescent="0.25">
      <c r="A10" s="236"/>
      <c r="B10" s="266" t="s">
        <v>624</v>
      </c>
      <c r="C10" s="267"/>
      <c r="D10" s="268"/>
      <c r="K10" s="263"/>
      <c r="L10" s="264"/>
      <c r="M10" s="264"/>
      <c r="N10" s="265"/>
      <c r="O10" s="237"/>
    </row>
    <row r="11" spans="1:120" ht="30" customHeight="1" outlineLevel="1" x14ac:dyDescent="0.25">
      <c r="A11" s="236"/>
      <c r="B11" s="269" t="s">
        <v>707</v>
      </c>
      <c r="C11" s="270"/>
      <c r="D11" s="271" t="s">
        <v>1</v>
      </c>
      <c r="E11" s="237"/>
      <c r="K11" s="263"/>
      <c r="L11" s="264"/>
      <c r="M11" s="264"/>
      <c r="N11" s="265"/>
    </row>
    <row r="12" spans="1:120" outlineLevel="1" x14ac:dyDescent="0.25">
      <c r="A12" s="236"/>
      <c r="B12" s="272" t="s">
        <v>535</v>
      </c>
      <c r="C12" s="273"/>
      <c r="D12" s="271" t="s">
        <v>1</v>
      </c>
      <c r="H12" s="274"/>
      <c r="I12" s="274"/>
      <c r="J12" s="274"/>
      <c r="K12" s="263"/>
      <c r="L12" s="264"/>
      <c r="M12" s="264"/>
      <c r="N12" s="265"/>
    </row>
    <row r="13" spans="1:120" outlineLevel="1" x14ac:dyDescent="0.25">
      <c r="A13" s="236"/>
      <c r="B13" s="272" t="s">
        <v>34</v>
      </c>
      <c r="C13" s="273"/>
      <c r="D13" s="271" t="s">
        <v>775</v>
      </c>
      <c r="H13" s="274"/>
      <c r="I13" s="274"/>
      <c r="J13" s="274"/>
      <c r="K13" s="263"/>
      <c r="L13" s="264"/>
      <c r="M13" s="264"/>
      <c r="N13" s="265"/>
    </row>
    <row r="14" spans="1:120" ht="15.75" outlineLevel="1" thickBot="1" x14ac:dyDescent="0.3">
      <c r="A14" s="236"/>
      <c r="B14" s="272" t="s">
        <v>35</v>
      </c>
      <c r="C14" s="273"/>
      <c r="D14" s="271" t="s">
        <v>776</v>
      </c>
      <c r="K14" s="275"/>
      <c r="L14" s="276"/>
      <c r="M14" s="276"/>
      <c r="N14" s="277"/>
    </row>
    <row r="15" spans="1:120" outlineLevel="1" x14ac:dyDescent="0.25">
      <c r="A15" s="236"/>
      <c r="B15" s="272" t="s">
        <v>536</v>
      </c>
      <c r="C15" s="273"/>
      <c r="D15" s="271"/>
    </row>
    <row r="16" spans="1:120" ht="15.75" outlineLevel="1" thickBot="1" x14ac:dyDescent="0.3">
      <c r="A16" s="236"/>
      <c r="B16" s="278" t="s">
        <v>36</v>
      </c>
      <c r="C16" s="279"/>
      <c r="D16" s="280" t="s">
        <v>761</v>
      </c>
    </row>
    <row r="17" spans="1:86" ht="15.75" thickBot="1" x14ac:dyDescent="0.3">
      <c r="A17" s="236"/>
    </row>
    <row r="18" spans="1:86" s="239" customFormat="1" ht="30" customHeight="1" thickBot="1" x14ac:dyDescent="0.3">
      <c r="B18" s="281" t="s">
        <v>64</v>
      </c>
      <c r="C18" s="282"/>
      <c r="D18" s="282"/>
      <c r="E18" s="282"/>
      <c r="F18" s="282"/>
      <c r="G18" s="282"/>
      <c r="H18" s="282"/>
      <c r="I18" s="282"/>
      <c r="J18" s="282"/>
      <c r="K18" s="282"/>
      <c r="L18" s="282"/>
      <c r="M18" s="282"/>
      <c r="N18" s="283"/>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row>
    <row r="19" spans="1:86" outlineLevel="1" x14ac:dyDescent="0.25">
      <c r="A19" s="245"/>
    </row>
    <row r="20" spans="1:86" ht="30" outlineLevel="1" x14ac:dyDescent="0.25">
      <c r="B20" s="284" t="s">
        <v>32</v>
      </c>
      <c r="C20" s="285"/>
      <c r="D20" s="286" t="s">
        <v>10</v>
      </c>
      <c r="E20" s="286"/>
      <c r="F20" s="285"/>
      <c r="G20" s="287"/>
      <c r="H20" s="288" t="s">
        <v>22</v>
      </c>
      <c r="I20" s="289"/>
      <c r="J20" s="290" t="s">
        <v>492</v>
      </c>
      <c r="K20" s="291" t="s">
        <v>23</v>
      </c>
      <c r="L20" s="292"/>
      <c r="M20" s="288" t="s">
        <v>24</v>
      </c>
      <c r="N20" s="293"/>
    </row>
    <row r="21" spans="1:86" outlineLevel="1" x14ac:dyDescent="0.25">
      <c r="A21" s="245"/>
      <c r="B21" s="294" t="s">
        <v>791</v>
      </c>
      <c r="C21" s="285"/>
      <c r="D21" s="295">
        <v>1000</v>
      </c>
      <c r="E21" s="296" t="str">
        <f>CONCATENATE("€ / ",$D$11)</f>
        <v>€ / T</v>
      </c>
      <c r="F21" s="285"/>
      <c r="G21" s="297"/>
      <c r="H21" s="298">
        <v>6.46</v>
      </c>
      <c r="I21" s="299" t="str">
        <f>CONCATENATE("TCO2 / ",$D$11)</f>
        <v>TCO2 / T</v>
      </c>
      <c r="J21" s="300"/>
      <c r="K21" s="301">
        <v>1.4</v>
      </c>
      <c r="L21" s="296" t="str">
        <f>CONCATENATE("TCO2 / ",$D$11)</f>
        <v>TCO2 / T</v>
      </c>
      <c r="M21" s="302">
        <f>H21+K21</f>
        <v>7.8599999999999994</v>
      </c>
      <c r="N21" s="296" t="str">
        <f>CONCATENATE("TCO2 / ",$D$11)</f>
        <v>TCO2 / T</v>
      </c>
    </row>
    <row r="22" spans="1:86" outlineLevel="1" x14ac:dyDescent="0.25">
      <c r="A22" s="238"/>
      <c r="B22" s="294" t="s">
        <v>792</v>
      </c>
      <c r="C22" s="285"/>
      <c r="D22" s="303">
        <v>200000</v>
      </c>
      <c r="E22" s="296" t="str">
        <f t="shared" ref="E22:E31" si="0">CONCATENATE("€ / ",$D$11)</f>
        <v>€ / T</v>
      </c>
      <c r="F22" s="285"/>
      <c r="G22" s="297"/>
      <c r="H22" s="298">
        <v>2.4</v>
      </c>
      <c r="I22" s="299" t="str">
        <f t="shared" ref="I22:I31" si="1">CONCATENATE("TCO2 / ",$D$11)</f>
        <v>TCO2 / T</v>
      </c>
      <c r="J22" s="300"/>
      <c r="K22" s="301">
        <v>3.4000000000000002E-2</v>
      </c>
      <c r="L22" s="296" t="str">
        <f t="shared" ref="L22:L31" si="2">CONCATENATE("TCO2 / ",$D$11)</f>
        <v>TCO2 / T</v>
      </c>
      <c r="M22" s="302">
        <f t="shared" ref="M22:M28" si="3">H22+K22</f>
        <v>2.4339999999999997</v>
      </c>
      <c r="N22" s="296" t="str">
        <f t="shared" ref="N22:N31" si="4">CONCATENATE("TCO2 / ",$D$11)</f>
        <v>TCO2 / T</v>
      </c>
      <c r="P22" s="304"/>
    </row>
    <row r="23" spans="1:86" outlineLevel="1" x14ac:dyDescent="0.25">
      <c r="A23" s="238"/>
      <c r="B23" s="294" t="s">
        <v>793</v>
      </c>
      <c r="C23" s="285"/>
      <c r="D23" s="303">
        <v>1050</v>
      </c>
      <c r="E23" s="296" t="str">
        <f t="shared" si="0"/>
        <v>€ / T</v>
      </c>
      <c r="F23" s="285"/>
      <c r="G23" s="297"/>
      <c r="H23" s="298">
        <v>18.600000000000001</v>
      </c>
      <c r="I23" s="299" t="str">
        <f t="shared" si="1"/>
        <v>TCO2 / T</v>
      </c>
      <c r="J23" s="300"/>
      <c r="K23" s="301">
        <v>3.2</v>
      </c>
      <c r="L23" s="296" t="str">
        <f t="shared" si="2"/>
        <v>TCO2 / T</v>
      </c>
      <c r="M23" s="302">
        <f t="shared" si="3"/>
        <v>21.8</v>
      </c>
      <c r="N23" s="296" t="str">
        <f t="shared" si="4"/>
        <v>TCO2 / T</v>
      </c>
    </row>
    <row r="24" spans="1:86" outlineLevel="1" x14ac:dyDescent="0.25">
      <c r="A24" s="238"/>
      <c r="B24" s="294"/>
      <c r="C24" s="285"/>
      <c r="D24" s="303"/>
      <c r="E24" s="296" t="str">
        <f t="shared" si="0"/>
        <v>€ / T</v>
      </c>
      <c r="F24" s="285"/>
      <c r="G24" s="297"/>
      <c r="H24" s="298"/>
      <c r="I24" s="299" t="str">
        <f t="shared" si="1"/>
        <v>TCO2 / T</v>
      </c>
      <c r="J24" s="300"/>
      <c r="K24" s="301"/>
      <c r="L24" s="296" t="str">
        <f t="shared" si="2"/>
        <v>TCO2 / T</v>
      </c>
      <c r="M24" s="302">
        <f t="shared" si="3"/>
        <v>0</v>
      </c>
      <c r="N24" s="296" t="str">
        <f t="shared" si="4"/>
        <v>TCO2 / T</v>
      </c>
    </row>
    <row r="25" spans="1:86" outlineLevel="1" x14ac:dyDescent="0.25">
      <c r="A25" s="245"/>
      <c r="B25" s="294"/>
      <c r="C25" s="285"/>
      <c r="D25" s="303"/>
      <c r="E25" s="296" t="str">
        <f t="shared" si="0"/>
        <v>€ / T</v>
      </c>
      <c r="F25" s="285"/>
      <c r="G25" s="297"/>
      <c r="H25" s="298"/>
      <c r="I25" s="299" t="str">
        <f t="shared" si="1"/>
        <v>TCO2 / T</v>
      </c>
      <c r="J25" s="300"/>
      <c r="K25" s="301"/>
      <c r="L25" s="296" t="str">
        <f t="shared" si="2"/>
        <v>TCO2 / T</v>
      </c>
      <c r="M25" s="302">
        <f t="shared" si="3"/>
        <v>0</v>
      </c>
      <c r="N25" s="296" t="str">
        <f t="shared" si="4"/>
        <v>TCO2 / T</v>
      </c>
    </row>
    <row r="26" spans="1:86" outlineLevel="1" x14ac:dyDescent="0.25">
      <c r="A26" s="245"/>
      <c r="B26" s="294"/>
      <c r="C26" s="285"/>
      <c r="D26" s="303"/>
      <c r="E26" s="296" t="str">
        <f t="shared" si="0"/>
        <v>€ / T</v>
      </c>
      <c r="F26" s="285"/>
      <c r="G26" s="297"/>
      <c r="H26" s="298"/>
      <c r="I26" s="299" t="str">
        <f t="shared" si="1"/>
        <v>TCO2 / T</v>
      </c>
      <c r="J26" s="300"/>
      <c r="K26" s="301"/>
      <c r="L26" s="296" t="str">
        <f t="shared" si="2"/>
        <v>TCO2 / T</v>
      </c>
      <c r="M26" s="302">
        <f t="shared" si="3"/>
        <v>0</v>
      </c>
      <c r="N26" s="296" t="str">
        <f t="shared" si="4"/>
        <v>TCO2 / T</v>
      </c>
    </row>
    <row r="27" spans="1:86" outlineLevel="1" x14ac:dyDescent="0.25">
      <c r="A27" s="245"/>
      <c r="B27" s="294"/>
      <c r="C27" s="285"/>
      <c r="D27" s="305"/>
      <c r="E27" s="306" t="str">
        <f t="shared" si="0"/>
        <v>€ / T</v>
      </c>
      <c r="F27" s="285"/>
      <c r="G27" s="297"/>
      <c r="H27" s="298"/>
      <c r="I27" s="299" t="str">
        <f t="shared" si="1"/>
        <v>TCO2 / T</v>
      </c>
      <c r="J27" s="300"/>
      <c r="K27" s="301"/>
      <c r="L27" s="296" t="str">
        <f t="shared" si="2"/>
        <v>TCO2 / T</v>
      </c>
      <c r="M27" s="302">
        <f t="shared" si="3"/>
        <v>0</v>
      </c>
      <c r="N27" s="296" t="str">
        <f t="shared" si="4"/>
        <v>TCO2 / T</v>
      </c>
    </row>
    <row r="28" spans="1:86" outlineLevel="1" x14ac:dyDescent="0.25">
      <c r="A28" s="245"/>
      <c r="B28" s="294"/>
      <c r="C28" s="285"/>
      <c r="D28" s="303"/>
      <c r="E28" s="296" t="str">
        <f t="shared" si="0"/>
        <v>€ / T</v>
      </c>
      <c r="F28" s="285"/>
      <c r="G28" s="297"/>
      <c r="H28" s="298"/>
      <c r="I28" s="296" t="str">
        <f t="shared" si="1"/>
        <v>TCO2 / T</v>
      </c>
      <c r="J28" s="300"/>
      <c r="K28" s="307"/>
      <c r="L28" s="296" t="str">
        <f t="shared" si="2"/>
        <v>TCO2 / T</v>
      </c>
      <c r="M28" s="302">
        <f t="shared" si="3"/>
        <v>0</v>
      </c>
      <c r="N28" s="296" t="str">
        <f t="shared" si="4"/>
        <v>TCO2 / T</v>
      </c>
    </row>
    <row r="29" spans="1:86" outlineLevel="1" x14ac:dyDescent="0.25">
      <c r="A29" s="245"/>
      <c r="B29" s="308"/>
      <c r="C29" s="309"/>
      <c r="D29" s="310"/>
      <c r="E29" s="311" t="str">
        <f t="shared" si="0"/>
        <v>€ / T</v>
      </c>
      <c r="F29" s="309"/>
      <c r="G29" s="311"/>
      <c r="H29" s="312"/>
      <c r="I29" s="311" t="str">
        <f t="shared" si="1"/>
        <v>TCO2 / T</v>
      </c>
      <c r="J29" s="313"/>
      <c r="K29" s="314"/>
      <c r="L29" s="311" t="str">
        <f t="shared" si="2"/>
        <v>TCO2 / T</v>
      </c>
      <c r="M29" s="315"/>
      <c r="N29" s="311" t="str">
        <f t="shared" si="4"/>
        <v>TCO2 / T</v>
      </c>
    </row>
    <row r="30" spans="1:86" outlineLevel="1" x14ac:dyDescent="0.25">
      <c r="A30" s="245"/>
      <c r="B30" s="308"/>
      <c r="C30" s="309"/>
      <c r="D30" s="310"/>
      <c r="E30" s="311" t="str">
        <f t="shared" si="0"/>
        <v>€ / T</v>
      </c>
      <c r="F30" s="309"/>
      <c r="G30" s="311"/>
      <c r="H30" s="312"/>
      <c r="I30" s="311" t="str">
        <f t="shared" si="1"/>
        <v>TCO2 / T</v>
      </c>
      <c r="J30" s="313"/>
      <c r="K30" s="314"/>
      <c r="L30" s="311" t="str">
        <f t="shared" si="2"/>
        <v>TCO2 / T</v>
      </c>
      <c r="M30" s="315"/>
      <c r="N30" s="311" t="str">
        <f t="shared" si="4"/>
        <v>TCO2 / T</v>
      </c>
    </row>
    <row r="31" spans="1:86" outlineLevel="1" x14ac:dyDescent="0.25">
      <c r="A31" s="245"/>
      <c r="B31" s="308"/>
      <c r="C31" s="309"/>
      <c r="D31" s="310"/>
      <c r="E31" s="311" t="str">
        <f t="shared" si="0"/>
        <v>€ / T</v>
      </c>
      <c r="F31" s="309"/>
      <c r="G31" s="311"/>
      <c r="H31" s="312"/>
      <c r="I31" s="311" t="str">
        <f t="shared" si="1"/>
        <v>TCO2 / T</v>
      </c>
      <c r="J31" s="313"/>
      <c r="K31" s="314"/>
      <c r="L31" s="311" t="str">
        <f t="shared" si="2"/>
        <v>TCO2 / T</v>
      </c>
      <c r="M31" s="315"/>
      <c r="N31" s="311" t="str">
        <f t="shared" si="4"/>
        <v>TCO2 / T</v>
      </c>
    </row>
    <row r="32" spans="1:86" ht="15.75" thickBot="1" x14ac:dyDescent="0.3">
      <c r="A32" s="236"/>
    </row>
    <row r="33" spans="1:86" s="239" customFormat="1" ht="30" customHeight="1" thickBot="1" x14ac:dyDescent="0.3">
      <c r="B33" s="281" t="s">
        <v>63</v>
      </c>
      <c r="C33" s="282"/>
      <c r="D33" s="282"/>
      <c r="E33" s="282"/>
      <c r="F33" s="282"/>
      <c r="G33" s="282"/>
      <c r="H33" s="282"/>
      <c r="I33" s="282"/>
      <c r="J33" s="282"/>
      <c r="K33" s="282"/>
      <c r="L33" s="282"/>
      <c r="M33" s="282"/>
      <c r="N33" s="283"/>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row>
    <row r="34" spans="1:86" outlineLevel="1" x14ac:dyDescent="0.25">
      <c r="A34" s="245"/>
    </row>
    <row r="35" spans="1:86" ht="30" outlineLevel="1" x14ac:dyDescent="0.25">
      <c r="A35" s="245"/>
      <c r="B35" s="284" t="s">
        <v>13</v>
      </c>
      <c r="C35" s="285"/>
      <c r="D35" s="288" t="s">
        <v>14</v>
      </c>
      <c r="E35" s="293"/>
      <c r="F35" s="285"/>
      <c r="G35" s="316"/>
      <c r="H35" s="289" t="s">
        <v>30</v>
      </c>
      <c r="I35" s="289"/>
      <c r="J35" s="290" t="s">
        <v>31</v>
      </c>
      <c r="K35" s="289" t="s">
        <v>23</v>
      </c>
      <c r="L35" s="293"/>
      <c r="M35" s="288" t="s">
        <v>25</v>
      </c>
      <c r="N35" s="293"/>
    </row>
    <row r="36" spans="1:86" outlineLevel="1" x14ac:dyDescent="0.25">
      <c r="A36" s="317"/>
      <c r="B36" s="318" t="s">
        <v>794</v>
      </c>
      <c r="C36" s="285"/>
      <c r="D36" s="319">
        <v>3800</v>
      </c>
      <c r="E36" s="296" t="str">
        <f>CONCATENATE("€ / ",$D$12)</f>
        <v>€ / T</v>
      </c>
      <c r="F36" s="285"/>
      <c r="G36" s="320"/>
      <c r="H36" s="301">
        <v>2.383</v>
      </c>
      <c r="I36" s="299" t="str">
        <f>CONCATENATE("TCO2 / ",$D$12)</f>
        <v>TCO2 / T</v>
      </c>
      <c r="J36" s="300"/>
      <c r="K36" s="301">
        <v>0.64</v>
      </c>
      <c r="L36" s="296" t="str">
        <f>CONCATENATE("TCO2 / ",$D$12)</f>
        <v>TCO2 / T</v>
      </c>
      <c r="M36" s="302">
        <f>H36+K36</f>
        <v>3.0230000000000001</v>
      </c>
      <c r="N36" s="296" t="str">
        <f>CONCATENATE("TCO2 / ",$D$12)</f>
        <v>TCO2 / T</v>
      </c>
    </row>
    <row r="37" spans="1:86" outlineLevel="1" x14ac:dyDescent="0.25">
      <c r="A37" s="317"/>
      <c r="B37" s="318" t="s">
        <v>795</v>
      </c>
      <c r="C37" s="285"/>
      <c r="D37" s="295">
        <v>110</v>
      </c>
      <c r="E37" s="296" t="str">
        <f t="shared" ref="E37:E40" si="5">CONCATENATE("€ / ",$D$12)</f>
        <v>€ / T</v>
      </c>
      <c r="F37" s="285"/>
      <c r="G37" s="320"/>
      <c r="H37" s="301">
        <v>0.39</v>
      </c>
      <c r="I37" s="299" t="str">
        <f t="shared" ref="I37:I41" si="6">CONCATENATE("TCO2 / ",$D$12)</f>
        <v>TCO2 / T</v>
      </c>
      <c r="J37" s="300"/>
      <c r="K37" s="301">
        <v>0.89</v>
      </c>
      <c r="L37" s="296" t="str">
        <f t="shared" ref="L37:L41" si="7">CONCATENATE("TCO2 / ",$D$12)</f>
        <v>TCO2 / T</v>
      </c>
      <c r="M37" s="302">
        <f t="shared" ref="M37:M38" si="8">H37+K37</f>
        <v>1.28</v>
      </c>
      <c r="N37" s="296" t="str">
        <f t="shared" ref="N37:N41" si="9">CONCATENATE("TCO2 / ",$D$12)</f>
        <v>TCO2 / T</v>
      </c>
    </row>
    <row r="38" spans="1:86" outlineLevel="1" x14ac:dyDescent="0.25">
      <c r="A38" s="317"/>
      <c r="B38" s="318" t="s">
        <v>796</v>
      </c>
      <c r="C38" s="285"/>
      <c r="D38" s="295">
        <v>2000</v>
      </c>
      <c r="E38" s="296" t="str">
        <f t="shared" si="5"/>
        <v>€ / T</v>
      </c>
      <c r="F38" s="285"/>
      <c r="G38" s="321"/>
      <c r="H38" s="301">
        <v>0.92300000000000004</v>
      </c>
      <c r="I38" s="299" t="str">
        <f t="shared" si="6"/>
        <v>TCO2 / T</v>
      </c>
      <c r="J38" s="300"/>
      <c r="K38" s="301">
        <v>1.45</v>
      </c>
      <c r="L38" s="296" t="str">
        <f t="shared" si="7"/>
        <v>TCO2 / T</v>
      </c>
      <c r="M38" s="302">
        <f t="shared" si="8"/>
        <v>2.3730000000000002</v>
      </c>
      <c r="N38" s="296" t="str">
        <f t="shared" si="9"/>
        <v>TCO2 / T</v>
      </c>
    </row>
    <row r="39" spans="1:86" outlineLevel="1" x14ac:dyDescent="0.25">
      <c r="A39" s="317"/>
      <c r="B39" s="318" t="s">
        <v>797</v>
      </c>
      <c r="C39" s="285"/>
      <c r="D39" s="295">
        <v>14000</v>
      </c>
      <c r="E39" s="296" t="str">
        <f t="shared" si="5"/>
        <v>€ / T</v>
      </c>
      <c r="F39" s="285"/>
      <c r="G39" s="321"/>
      <c r="H39" s="301">
        <v>7.8</v>
      </c>
      <c r="I39" s="299" t="str">
        <f t="shared" si="6"/>
        <v>TCO2 / T</v>
      </c>
      <c r="J39" s="300"/>
      <c r="K39" s="301">
        <v>0.9</v>
      </c>
      <c r="L39" s="296" t="str">
        <f t="shared" si="7"/>
        <v>TCO2 / T</v>
      </c>
      <c r="M39" s="302">
        <f t="shared" ref="M39:M40" si="10">H39+K39</f>
        <v>8.6999999999999993</v>
      </c>
      <c r="N39" s="296" t="str">
        <f t="shared" si="9"/>
        <v>TCO2 / T</v>
      </c>
    </row>
    <row r="40" spans="1:86" outlineLevel="1" x14ac:dyDescent="0.25">
      <c r="A40" s="245"/>
      <c r="B40" s="294"/>
      <c r="C40" s="285"/>
      <c r="D40" s="295"/>
      <c r="E40" s="296" t="str">
        <f t="shared" si="5"/>
        <v>€ / T</v>
      </c>
      <c r="F40" s="285"/>
      <c r="G40" s="321"/>
      <c r="H40" s="301"/>
      <c r="I40" s="299" t="str">
        <f t="shared" si="6"/>
        <v>TCO2 / T</v>
      </c>
      <c r="J40" s="300"/>
      <c r="K40" s="301"/>
      <c r="L40" s="296" t="str">
        <f t="shared" si="7"/>
        <v>TCO2 / T</v>
      </c>
      <c r="M40" s="302">
        <f t="shared" si="10"/>
        <v>0</v>
      </c>
      <c r="N40" s="296" t="str">
        <f t="shared" si="9"/>
        <v>TCO2 / T</v>
      </c>
    </row>
    <row r="41" spans="1:86" outlineLevel="1" x14ac:dyDescent="0.25">
      <c r="A41" s="317"/>
      <c r="B41" s="294"/>
      <c r="C41" s="285"/>
      <c r="D41" s="295"/>
      <c r="E41" s="296" t="str">
        <f>CONCATENATE("€ / ",$D$12)</f>
        <v>€ / T</v>
      </c>
      <c r="F41" s="285"/>
      <c r="G41" s="321"/>
      <c r="H41" s="301"/>
      <c r="I41" s="299" t="str">
        <f t="shared" si="6"/>
        <v>TCO2 / T</v>
      </c>
      <c r="J41" s="300"/>
      <c r="K41" s="301"/>
      <c r="L41" s="296" t="str">
        <f t="shared" si="7"/>
        <v>TCO2 / T</v>
      </c>
      <c r="M41" s="302">
        <f>H41+K41</f>
        <v>0</v>
      </c>
      <c r="N41" s="296" t="str">
        <f t="shared" si="9"/>
        <v>TCO2 / T</v>
      </c>
    </row>
    <row r="42" spans="1:86" ht="15.75" thickBot="1" x14ac:dyDescent="0.3">
      <c r="A42" s="236"/>
    </row>
    <row r="43" spans="1:86" s="239" customFormat="1" ht="30" customHeight="1" thickBot="1" x14ac:dyDescent="0.3">
      <c r="B43" s="281" t="s">
        <v>62</v>
      </c>
      <c r="C43" s="282"/>
      <c r="D43" s="282"/>
      <c r="E43" s="282"/>
      <c r="F43" s="282"/>
      <c r="G43" s="282"/>
      <c r="H43" s="282"/>
      <c r="I43" s="282"/>
      <c r="J43" s="282"/>
      <c r="K43" s="282"/>
      <c r="L43" s="282"/>
      <c r="M43" s="282"/>
      <c r="N43" s="283"/>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row>
    <row r="44" spans="1:86" outlineLevel="1" x14ac:dyDescent="0.25">
      <c r="A44" s="245"/>
    </row>
    <row r="45" spans="1:86" ht="31.5" customHeight="1" outlineLevel="1" x14ac:dyDescent="0.25">
      <c r="A45" s="245"/>
      <c r="B45" s="284" t="s">
        <v>33</v>
      </c>
      <c r="C45" s="285"/>
      <c r="D45" s="288" t="s">
        <v>8</v>
      </c>
      <c r="E45" s="293"/>
      <c r="F45" s="285"/>
      <c r="G45" s="287" t="s">
        <v>531</v>
      </c>
      <c r="H45" s="285"/>
      <c r="I45" s="285"/>
      <c r="K45" s="285"/>
      <c r="L45" s="285"/>
      <c r="M45" s="322" t="s">
        <v>37</v>
      </c>
      <c r="N45" s="292"/>
    </row>
    <row r="46" spans="1:86" outlineLevel="1" x14ac:dyDescent="0.25">
      <c r="A46" s="323"/>
      <c r="B46" s="324" t="s">
        <v>34</v>
      </c>
      <c r="C46" s="285"/>
      <c r="D46" s="303">
        <v>0.15</v>
      </c>
      <c r="E46" s="296" t="str">
        <f>CONCATENATE("€ / ",$D$13)</f>
        <v>€ / kWh</v>
      </c>
      <c r="F46" s="285"/>
      <c r="G46" s="325"/>
      <c r="H46" s="285"/>
      <c r="I46" s="285"/>
      <c r="K46" s="285"/>
      <c r="L46" s="285"/>
      <c r="M46" s="298">
        <v>7.85E-4</v>
      </c>
      <c r="N46" s="296" t="str">
        <f>CONCATENATE("TCO2 / ",$D$13)</f>
        <v>TCO2 / kWh</v>
      </c>
    </row>
    <row r="47" spans="1:86" outlineLevel="1" x14ac:dyDescent="0.25">
      <c r="A47" s="245"/>
      <c r="B47" s="324" t="s">
        <v>35</v>
      </c>
      <c r="C47" s="285"/>
      <c r="D47" s="303"/>
      <c r="E47" s="296" t="str">
        <f>CONCATENATE("€ / ",$D$14)</f>
        <v>€ / kg</v>
      </c>
      <c r="F47" s="285"/>
      <c r="G47" s="325"/>
      <c r="H47" s="285"/>
      <c r="I47" s="285"/>
      <c r="K47" s="285"/>
      <c r="L47" s="285"/>
      <c r="M47" s="298"/>
      <c r="N47" s="296" t="str">
        <f>CONCATENATE("TCO2 / ",$D$14)</f>
        <v>TCO2 / kg</v>
      </c>
    </row>
    <row r="48" spans="1:86" outlineLevel="1" x14ac:dyDescent="0.25">
      <c r="A48" s="245"/>
      <c r="B48" s="324" t="str">
        <f>B15</f>
        <v>Autre énergie</v>
      </c>
      <c r="C48" s="285"/>
      <c r="D48" s="326"/>
      <c r="E48" s="296" t="str">
        <f>IF($D$15&lt;&gt;"/",CONCATENATE("€ / ",$D$15),"/")</f>
        <v xml:space="preserve">€ / </v>
      </c>
      <c r="F48" s="285"/>
      <c r="G48" s="325"/>
      <c r="H48" s="285"/>
      <c r="I48" s="285"/>
      <c r="K48" s="285"/>
      <c r="L48" s="285"/>
      <c r="M48" s="298"/>
      <c r="N48" s="296" t="str">
        <f>IF($D$15&lt;&gt;"/",CONCATENATE("TCO2 / ",$D$15),"/")</f>
        <v xml:space="preserve">TCO2 / </v>
      </c>
    </row>
    <row r="49" spans="1:86" outlineLevel="1" x14ac:dyDescent="0.25">
      <c r="A49" s="323"/>
      <c r="B49" s="324" t="s">
        <v>36</v>
      </c>
      <c r="C49" s="285"/>
      <c r="D49" s="303">
        <v>0.3</v>
      </c>
      <c r="E49" s="296" t="str">
        <f>CONCATENATE("€ / ",$D$16)</f>
        <v>€ / L</v>
      </c>
      <c r="F49" s="285"/>
      <c r="G49" s="327"/>
      <c r="H49" s="285"/>
      <c r="I49" s="285"/>
      <c r="K49" s="285"/>
      <c r="L49" s="285"/>
      <c r="M49" s="285"/>
      <c r="N49" s="285"/>
    </row>
    <row r="50" spans="1:86" ht="15.75" thickBot="1" x14ac:dyDescent="0.3">
      <c r="A50" s="236"/>
    </row>
    <row r="51" spans="1:86" s="239" customFormat="1" ht="30" customHeight="1" thickBot="1" x14ac:dyDescent="0.3">
      <c r="B51" s="281" t="s">
        <v>65</v>
      </c>
      <c r="C51" s="282"/>
      <c r="D51" s="282"/>
      <c r="E51" s="282"/>
      <c r="F51" s="282"/>
      <c r="G51" s="282"/>
      <c r="H51" s="282"/>
      <c r="I51" s="282"/>
      <c r="J51" s="282"/>
      <c r="K51" s="282"/>
      <c r="L51" s="282"/>
      <c r="M51" s="282"/>
      <c r="N51" s="283"/>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c r="CC51" s="238"/>
      <c r="CD51" s="238"/>
      <c r="CE51" s="238"/>
      <c r="CF51" s="238"/>
      <c r="CG51" s="238"/>
      <c r="CH51" s="238"/>
    </row>
    <row r="52" spans="1:86" outlineLevel="1" x14ac:dyDescent="0.25">
      <c r="A52" s="245"/>
    </row>
    <row r="53" spans="1:86" ht="30" customHeight="1" outlineLevel="1" x14ac:dyDescent="0.25">
      <c r="B53" s="284" t="s">
        <v>12</v>
      </c>
      <c r="C53" s="285"/>
      <c r="D53" s="288" t="s">
        <v>5</v>
      </c>
      <c r="E53" s="293"/>
      <c r="F53" s="328"/>
      <c r="G53" s="329">
        <f>SUM(D54:D58)/(5-COUNTBLANK(B54:B58))</f>
        <v>47500</v>
      </c>
      <c r="H53" s="285"/>
      <c r="I53" s="285"/>
      <c r="J53" s="285"/>
      <c r="K53" s="285"/>
      <c r="L53" s="285"/>
      <c r="M53" s="285"/>
      <c r="N53" s="285"/>
    </row>
    <row r="54" spans="1:86" outlineLevel="1" x14ac:dyDescent="0.25">
      <c r="B54" s="294" t="s">
        <v>600</v>
      </c>
      <c r="C54" s="285"/>
      <c r="D54" s="303">
        <v>35000</v>
      </c>
      <c r="E54" s="296" t="s">
        <v>11</v>
      </c>
      <c r="F54" s="328"/>
      <c r="G54" s="330"/>
      <c r="H54" s="285"/>
      <c r="I54" s="285"/>
      <c r="J54" s="285"/>
      <c r="K54" s="285"/>
      <c r="L54" s="285"/>
      <c r="M54" s="285"/>
      <c r="N54" s="285"/>
    </row>
    <row r="55" spans="1:86" outlineLevel="1" x14ac:dyDescent="0.25">
      <c r="B55" s="318" t="s">
        <v>798</v>
      </c>
      <c r="C55" s="285"/>
      <c r="D55" s="303">
        <v>60000</v>
      </c>
      <c r="E55" s="296" t="s">
        <v>11</v>
      </c>
      <c r="F55" s="328"/>
      <c r="G55" s="285"/>
      <c r="H55" s="285"/>
      <c r="I55" s="285"/>
      <c r="J55" s="285"/>
      <c r="K55" s="285"/>
      <c r="L55" s="285"/>
      <c r="M55" s="285"/>
      <c r="N55" s="285"/>
    </row>
    <row r="56" spans="1:86" outlineLevel="1" x14ac:dyDescent="0.25">
      <c r="B56" s="294"/>
      <c r="C56" s="285"/>
      <c r="D56" s="303"/>
      <c r="E56" s="296" t="s">
        <v>11</v>
      </c>
      <c r="F56" s="328"/>
      <c r="G56" s="285"/>
      <c r="H56" s="285"/>
      <c r="I56" s="285"/>
      <c r="J56" s="285"/>
      <c r="K56" s="285"/>
      <c r="L56" s="285"/>
      <c r="M56" s="285"/>
      <c r="N56" s="285"/>
    </row>
    <row r="57" spans="1:86" outlineLevel="1" x14ac:dyDescent="0.25">
      <c r="B57" s="294"/>
      <c r="C57" s="285"/>
      <c r="D57" s="303"/>
      <c r="E57" s="296" t="s">
        <v>11</v>
      </c>
      <c r="F57" s="328"/>
      <c r="G57" s="285"/>
      <c r="H57" s="285"/>
      <c r="I57" s="285"/>
      <c r="J57" s="285"/>
      <c r="K57" s="285"/>
      <c r="L57" s="285"/>
      <c r="M57" s="285"/>
      <c r="N57" s="285"/>
    </row>
    <row r="58" spans="1:86" outlineLevel="1" x14ac:dyDescent="0.25">
      <c r="B58" s="294"/>
      <c r="C58" s="285"/>
      <c r="D58" s="303"/>
      <c r="E58" s="296" t="s">
        <v>11</v>
      </c>
      <c r="F58" s="328"/>
      <c r="G58" s="285"/>
      <c r="H58" s="285"/>
      <c r="I58" s="285"/>
      <c r="J58" s="285"/>
      <c r="K58" s="285"/>
      <c r="L58" s="285"/>
      <c r="M58" s="285"/>
      <c r="N58" s="285"/>
    </row>
    <row r="59" spans="1:86" ht="15.75" thickBot="1" x14ac:dyDescent="0.3">
      <c r="A59" s="236"/>
      <c r="B59" s="285"/>
      <c r="C59" s="285"/>
      <c r="D59" s="285"/>
      <c r="E59" s="285"/>
    </row>
    <row r="60" spans="1:86" s="239" customFormat="1" ht="30" customHeight="1" thickBot="1" x14ac:dyDescent="0.3">
      <c r="B60" s="281" t="s">
        <v>777</v>
      </c>
      <c r="C60" s="282"/>
      <c r="D60" s="282"/>
      <c r="E60" s="282"/>
      <c r="F60" s="282"/>
      <c r="G60" s="282"/>
      <c r="H60" s="282"/>
      <c r="I60" s="282"/>
      <c r="J60" s="282"/>
      <c r="K60" s="282"/>
      <c r="L60" s="282"/>
      <c r="M60" s="282"/>
      <c r="N60" s="283"/>
      <c r="O60" s="237"/>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c r="CC60" s="238"/>
      <c r="CD60" s="238"/>
      <c r="CE60" s="238"/>
      <c r="CF60" s="238"/>
      <c r="CG60" s="238"/>
      <c r="CH60" s="238"/>
    </row>
    <row r="61" spans="1:86" outlineLevel="1" x14ac:dyDescent="0.25">
      <c r="A61" s="245"/>
      <c r="O61" s="237"/>
    </row>
    <row r="62" spans="1:86" ht="44.25" customHeight="1" outlineLevel="1" x14ac:dyDescent="0.25">
      <c r="B62" s="284" t="s">
        <v>12</v>
      </c>
      <c r="C62" s="285"/>
      <c r="D62" s="331" t="s">
        <v>5</v>
      </c>
      <c r="E62" s="332"/>
      <c r="F62" s="328"/>
      <c r="G62" s="288" t="s">
        <v>514</v>
      </c>
      <c r="H62" s="293"/>
      <c r="J62" s="288" t="s">
        <v>556</v>
      </c>
      <c r="K62" s="293"/>
      <c r="M62" s="288" t="s">
        <v>515</v>
      </c>
      <c r="N62" s="293"/>
      <c r="O62" s="237"/>
    </row>
    <row r="63" spans="1:86" outlineLevel="1" x14ac:dyDescent="0.25">
      <c r="B63" s="294" t="s">
        <v>600</v>
      </c>
      <c r="C63" s="285"/>
      <c r="D63" s="303">
        <v>35000</v>
      </c>
      <c r="E63" s="296" t="s">
        <v>11</v>
      </c>
      <c r="F63" s="328"/>
      <c r="G63" s="333">
        <v>1E-3</v>
      </c>
      <c r="H63" s="334" t="s">
        <v>3</v>
      </c>
      <c r="J63" s="335">
        <v>0.1</v>
      </c>
      <c r="K63" s="334" t="str">
        <f>D11</f>
        <v>T</v>
      </c>
      <c r="M63" s="336">
        <f>IF(J63&lt;&gt;0,D63*G63/J63,0)</f>
        <v>350</v>
      </c>
      <c r="N63" s="334" t="str">
        <f>CONCATENATE("€ / ",$D$11)</f>
        <v>€ / T</v>
      </c>
    </row>
    <row r="64" spans="1:86" ht="15.75" thickBot="1" x14ac:dyDescent="0.3">
      <c r="A64" s="236"/>
      <c r="B64" s="285"/>
      <c r="C64" s="285"/>
      <c r="D64" s="285"/>
      <c r="E64" s="285"/>
    </row>
    <row r="65" spans="1:86" s="239" customFormat="1" ht="30" customHeight="1" thickBot="1" x14ac:dyDescent="0.3">
      <c r="B65" s="281" t="s">
        <v>778</v>
      </c>
      <c r="C65" s="282"/>
      <c r="D65" s="282"/>
      <c r="E65" s="282"/>
      <c r="F65" s="282"/>
      <c r="G65" s="282"/>
      <c r="H65" s="282"/>
      <c r="I65" s="282"/>
      <c r="J65" s="282"/>
      <c r="K65" s="282"/>
      <c r="L65" s="282"/>
      <c r="M65" s="282"/>
      <c r="N65" s="283"/>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row>
    <row r="66" spans="1:86" outlineLevel="1" x14ac:dyDescent="0.25">
      <c r="A66" s="245"/>
    </row>
    <row r="67" spans="1:86" ht="30" customHeight="1" outlineLevel="1" x14ac:dyDescent="0.25">
      <c r="B67" s="284" t="s">
        <v>15</v>
      </c>
      <c r="C67" s="285"/>
      <c r="D67" s="288" t="s">
        <v>16</v>
      </c>
      <c r="E67" s="293"/>
      <c r="F67" s="285"/>
      <c r="G67" s="285"/>
      <c r="H67" s="285"/>
      <c r="I67" s="285"/>
      <c r="J67" s="285"/>
      <c r="K67" s="285"/>
      <c r="L67" s="285"/>
      <c r="M67" s="286" t="s">
        <v>26</v>
      </c>
      <c r="N67" s="286"/>
    </row>
    <row r="68" spans="1:86" ht="15" customHeight="1" outlineLevel="1" x14ac:dyDescent="0.25">
      <c r="A68" s="245"/>
      <c r="B68" s="318" t="s">
        <v>799</v>
      </c>
      <c r="C68" s="285"/>
      <c r="D68" s="295">
        <v>4000</v>
      </c>
      <c r="E68" s="334" t="str">
        <f>CONCATENATE("€ / ",$D$11)</f>
        <v>€ / T</v>
      </c>
      <c r="F68" s="285"/>
      <c r="G68" s="330"/>
      <c r="H68" s="285"/>
      <c r="I68" s="285"/>
      <c r="J68" s="285"/>
      <c r="K68" s="285"/>
      <c r="L68" s="285"/>
      <c r="M68" s="337">
        <v>4.5999999999999999E-2</v>
      </c>
      <c r="N68" s="296" t="str">
        <f>CONCATENATE("TCO2 / ",$D$11)</f>
        <v>TCO2 / T</v>
      </c>
      <c r="Q68" s="338"/>
      <c r="R68" s="338"/>
      <c r="S68" s="338"/>
    </row>
    <row r="69" spans="1:86" outlineLevel="1" x14ac:dyDescent="0.25">
      <c r="B69" s="318" t="s">
        <v>800</v>
      </c>
      <c r="C69" s="285"/>
      <c r="D69" s="295">
        <v>-6000</v>
      </c>
      <c r="E69" s="334" t="str">
        <f t="shared" ref="E69:E70" si="11">CONCATENATE("€ / ",$D$11)</f>
        <v>€ / T</v>
      </c>
      <c r="F69" s="285"/>
      <c r="G69" s="285"/>
      <c r="H69" s="285"/>
      <c r="I69" s="285"/>
      <c r="J69" s="285"/>
      <c r="K69" s="285"/>
      <c r="L69" s="285"/>
      <c r="M69" s="337">
        <v>2.41E-5</v>
      </c>
      <c r="N69" s="296" t="str">
        <f t="shared" ref="N69:N71" si="12">CONCATENATE("TCO2 / ",$D$11)</f>
        <v>TCO2 / T</v>
      </c>
      <c r="Q69" s="338"/>
      <c r="R69" s="338"/>
      <c r="S69" s="338"/>
    </row>
    <row r="70" spans="1:86" outlineLevel="1" x14ac:dyDescent="0.25">
      <c r="B70" s="318"/>
      <c r="C70" s="339"/>
      <c r="D70" s="340"/>
      <c r="E70" s="334" t="str">
        <f t="shared" si="11"/>
        <v>€ / T</v>
      </c>
      <c r="F70" s="285"/>
      <c r="G70" s="285"/>
      <c r="H70" s="285"/>
      <c r="I70" s="285"/>
      <c r="J70" s="285"/>
      <c r="K70" s="285"/>
      <c r="L70" s="285"/>
      <c r="M70" s="337"/>
      <c r="N70" s="296" t="str">
        <f t="shared" si="12"/>
        <v>TCO2 / T</v>
      </c>
      <c r="Q70" s="338"/>
      <c r="R70" s="338"/>
      <c r="S70" s="338"/>
    </row>
    <row r="71" spans="1:86" outlineLevel="1" x14ac:dyDescent="0.25">
      <c r="B71" s="294"/>
      <c r="C71" s="339"/>
      <c r="D71" s="340"/>
      <c r="E71" s="334" t="str">
        <f>CONCATENATE("€ / ",$D$11)</f>
        <v>€ / T</v>
      </c>
      <c r="F71" s="285"/>
      <c r="G71" s="285"/>
      <c r="H71" s="285"/>
      <c r="I71" s="285"/>
      <c r="J71" s="285"/>
      <c r="K71" s="285"/>
      <c r="L71" s="285"/>
      <c r="M71" s="337"/>
      <c r="N71" s="296" t="str">
        <f t="shared" si="12"/>
        <v>TCO2 / T</v>
      </c>
      <c r="Q71" s="338"/>
      <c r="R71" s="338"/>
      <c r="S71" s="338"/>
    </row>
    <row r="79" spans="1:86" x14ac:dyDescent="0.25">
      <c r="A79" s="317"/>
    </row>
    <row r="80" spans="1:86" x14ac:dyDescent="0.25">
      <c r="A80" s="245"/>
    </row>
    <row r="85" spans="1:1" x14ac:dyDescent="0.25">
      <c r="A85" s="245"/>
    </row>
    <row r="94" spans="1:1" x14ac:dyDescent="0.25">
      <c r="A94" s="317"/>
    </row>
    <row r="95" spans="1:1" x14ac:dyDescent="0.25">
      <c r="A95" s="245"/>
    </row>
    <row r="100" spans="1:1" x14ac:dyDescent="0.25">
      <c r="A100" s="245"/>
    </row>
    <row r="109" spans="1:1" x14ac:dyDescent="0.25">
      <c r="A109" s="317"/>
    </row>
    <row r="110" spans="1:1" x14ac:dyDescent="0.25">
      <c r="A110" s="245"/>
    </row>
  </sheetData>
  <sheetProtection algorithmName="SHA-512" hashValue="lXednqIVfXDXhDw9jvs6npUC6DSHapX1cT21KKYh9reAf0qUQaWztvqlm1fQSBqpHpSUOXkuLQGzvZZdefVWow==" saltValue="M59EUwLaGt/FNxn/13HIXQ==" spinCount="100000" sheet="1" objects="1" scenarios="1"/>
  <mergeCells count="40">
    <mergeCell ref="Q68:S71"/>
    <mergeCell ref="B1:G1"/>
    <mergeCell ref="K7:N14"/>
    <mergeCell ref="M45:N45"/>
    <mergeCell ref="B14:C14"/>
    <mergeCell ref="B11:C11"/>
    <mergeCell ref="B12:C12"/>
    <mergeCell ref="B13:C13"/>
    <mergeCell ref="D67:E67"/>
    <mergeCell ref="M67:N67"/>
    <mergeCell ref="M20:N20"/>
    <mergeCell ref="M35:N35"/>
    <mergeCell ref="B65:N65"/>
    <mergeCell ref="D53:E53"/>
    <mergeCell ref="B60:N60"/>
    <mergeCell ref="D62:E62"/>
    <mergeCell ref="G62:H62"/>
    <mergeCell ref="B51:N51"/>
    <mergeCell ref="D35:E35"/>
    <mergeCell ref="H35:I35"/>
    <mergeCell ref="K35:L35"/>
    <mergeCell ref="D45:E45"/>
    <mergeCell ref="M62:N62"/>
    <mergeCell ref="J62:K62"/>
    <mergeCell ref="B2:N2"/>
    <mergeCell ref="B18:N18"/>
    <mergeCell ref="B33:N33"/>
    <mergeCell ref="B43:N43"/>
    <mergeCell ref="D20:E20"/>
    <mergeCell ref="H20:I20"/>
    <mergeCell ref="K20:L20"/>
    <mergeCell ref="B7:D7"/>
    <mergeCell ref="C8:D8"/>
    <mergeCell ref="G7:I7"/>
    <mergeCell ref="B15:C15"/>
    <mergeCell ref="B16:C16"/>
    <mergeCell ref="B10:D10"/>
    <mergeCell ref="G8:H8"/>
    <mergeCell ref="B3:L3"/>
    <mergeCell ref="C5:L5"/>
  </mergeCells>
  <conditionalFormatting sqref="D48">
    <cfRule type="expression" dxfId="101" priority="2">
      <formula>IF($B$15&lt;&gt;"/",TRUE,FALSE)</formula>
    </cfRule>
  </conditionalFormatting>
  <hyperlinks>
    <hyperlink ref="K20:L20" location="'Aide données'!A1" display="Empreinte GES unitaire transport amont"/>
    <hyperlink ref="M45:N45" location="'Aide données'!A1" display="Empreinte GES unitaire de l'énergie"/>
  </hyperlinks>
  <pageMargins left="0.7" right="0.7" top="0.75" bottom="0.75" header="0.3" footer="0.3"/>
  <pageSetup paperSize="9" orientation="portrait" r:id="rId1"/>
  <ignoredErrors>
    <ignoredError sqref="M36:M41 M21" formula="1"/>
  </ignoredErrors>
  <extLst>
    <ext xmlns:x14="http://schemas.microsoft.com/office/spreadsheetml/2009/9/main" uri="{78C0D931-6437-407d-A8EE-F0AAD7539E65}">
      <x14:conditionalFormattings>
        <x14:conditionalFormatting xmlns:xm="http://schemas.microsoft.com/office/excel/2006/main">
          <x14:cfRule type="expression" priority="38" id="{B735AEC4-D7B2-4E55-92B4-BD4B53421FF9}">
            <xm:f>IF($B$72=Annexes!#REF!,TRUE,FALSE)</xm:f>
            <x14:dxf>
              <font>
                <color theme="0"/>
              </font>
              <fill>
                <patternFill>
                  <bgColor theme="0"/>
                </patternFill>
              </fill>
              <border>
                <left/>
                <right/>
                <top/>
                <bottom/>
                <vertical/>
                <horizontal/>
              </border>
            </x14:dxf>
          </x14:cfRule>
          <xm:sqref>B63 E63:F63 B54:B58 E54:F58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G53"/>
  <sheetViews>
    <sheetView zoomScaleNormal="100" workbookViewId="0"/>
  </sheetViews>
  <sheetFormatPr baseColWidth="10" defaultRowHeight="15" x14ac:dyDescent="0.25"/>
  <cols>
    <col min="1" max="1" width="11.42578125" style="341"/>
    <col min="2" max="2" width="15" style="342" customWidth="1"/>
    <col min="3" max="4" width="11.42578125" style="342"/>
    <col min="5" max="5" width="17.140625" style="342" customWidth="1"/>
    <col min="6" max="6" width="22" style="342" bestFit="1" customWidth="1"/>
    <col min="7" max="7" width="24.42578125" style="342" bestFit="1" customWidth="1"/>
    <col min="8" max="8" width="11.42578125" style="342"/>
    <col min="9" max="9" width="11.42578125" style="341"/>
    <col min="10" max="14" width="11.42578125" style="342"/>
    <col min="15" max="15" width="11.42578125" style="341"/>
    <col min="16" max="16" width="11.42578125" style="342"/>
    <col min="17" max="17" width="15.5703125" style="342" customWidth="1"/>
    <col min="18" max="18" width="11.42578125" style="342"/>
    <col min="19" max="19" width="13.140625" style="342" customWidth="1"/>
    <col min="20" max="20" width="11.42578125" style="342" customWidth="1"/>
    <col min="21" max="21" width="0" style="342" hidden="1" customWidth="1"/>
    <col min="22" max="37" width="11.42578125" style="342"/>
    <col min="38" max="59" width="11.42578125" style="341"/>
    <col min="60" max="16384" width="11.42578125" style="342"/>
  </cols>
  <sheetData>
    <row r="1" spans="2:37" ht="24" thickBot="1" x14ac:dyDescent="0.4">
      <c r="B1" s="178" t="s">
        <v>747</v>
      </c>
      <c r="C1" s="179"/>
      <c r="D1" s="179"/>
      <c r="E1" s="179"/>
      <c r="F1" s="179"/>
      <c r="G1" s="180"/>
      <c r="H1" s="341"/>
      <c r="J1" s="341"/>
      <c r="K1" s="341"/>
      <c r="L1" s="341"/>
      <c r="M1" s="341"/>
      <c r="N1" s="341"/>
      <c r="P1" s="341"/>
      <c r="Q1" s="341"/>
      <c r="R1" s="341"/>
      <c r="S1" s="341"/>
      <c r="T1" s="341"/>
      <c r="U1" s="341"/>
      <c r="V1" s="341"/>
      <c r="W1" s="341"/>
      <c r="X1" s="341"/>
      <c r="Y1" s="341"/>
      <c r="Z1" s="341"/>
      <c r="AA1" s="341"/>
      <c r="AB1" s="341"/>
      <c r="AC1" s="341"/>
      <c r="AD1" s="341"/>
      <c r="AE1" s="341"/>
      <c r="AF1" s="341"/>
      <c r="AG1" s="341"/>
      <c r="AH1" s="341"/>
      <c r="AI1" s="341"/>
      <c r="AJ1" s="341"/>
      <c r="AK1" s="341"/>
    </row>
    <row r="2" spans="2:37" s="341" customFormat="1" ht="15.75" thickBot="1" x14ac:dyDescent="0.3">
      <c r="B2" s="343"/>
    </row>
    <row r="3" spans="2:37" s="341" customFormat="1" ht="35.25" customHeight="1" thickBot="1" x14ac:dyDescent="0.3">
      <c r="B3" s="241" t="s">
        <v>788</v>
      </c>
      <c r="C3" s="242"/>
      <c r="D3" s="242"/>
      <c r="E3" s="242"/>
      <c r="F3" s="242"/>
      <c r="G3" s="243"/>
    </row>
    <row r="4" spans="2:37" s="341" customFormat="1" ht="15.75" thickBot="1" x14ac:dyDescent="0.3"/>
    <row r="5" spans="2:37" ht="15.75" thickBot="1" x14ac:dyDescent="0.3">
      <c r="B5" s="341"/>
      <c r="D5" s="181" t="s">
        <v>785</v>
      </c>
      <c r="E5" s="182"/>
      <c r="F5" s="182"/>
      <c r="G5" s="182"/>
      <c r="H5" s="183"/>
      <c r="J5" s="181" t="s">
        <v>717</v>
      </c>
      <c r="K5" s="182"/>
      <c r="L5" s="182"/>
      <c r="M5" s="182"/>
      <c r="N5" s="183"/>
      <c r="P5" s="181" t="s">
        <v>718</v>
      </c>
      <c r="Q5" s="182"/>
      <c r="R5" s="182"/>
      <c r="S5" s="182"/>
      <c r="T5" s="183"/>
      <c r="W5" s="181" t="s">
        <v>730</v>
      </c>
      <c r="X5" s="182"/>
      <c r="Y5" s="182"/>
      <c r="Z5" s="182"/>
      <c r="AA5" s="182"/>
      <c r="AB5" s="182"/>
      <c r="AC5" s="183"/>
      <c r="AE5" s="181" t="s">
        <v>746</v>
      </c>
      <c r="AF5" s="182"/>
      <c r="AG5" s="182"/>
      <c r="AH5" s="182"/>
      <c r="AI5" s="182"/>
      <c r="AJ5" s="182"/>
      <c r="AK5" s="183"/>
    </row>
    <row r="6" spans="2:37" s="341" customFormat="1" ht="15.75" thickBot="1" x14ac:dyDescent="0.3">
      <c r="D6" s="344"/>
      <c r="E6" s="345"/>
      <c r="F6" s="345"/>
      <c r="G6" s="345"/>
      <c r="H6" s="346"/>
      <c r="J6" s="344"/>
      <c r="K6" s="345"/>
      <c r="L6" s="345"/>
      <c r="M6" s="345"/>
      <c r="N6" s="346"/>
      <c r="P6" s="344"/>
      <c r="Q6" s="345"/>
      <c r="R6" s="345"/>
      <c r="S6" s="345"/>
      <c r="T6" s="346"/>
      <c r="W6" s="344"/>
      <c r="X6" s="345"/>
      <c r="Y6" s="345"/>
      <c r="Z6" s="345"/>
      <c r="AA6" s="345"/>
      <c r="AB6" s="345"/>
      <c r="AC6" s="346"/>
      <c r="AE6" s="344"/>
      <c r="AF6" s="345"/>
      <c r="AG6" s="345"/>
      <c r="AH6" s="345"/>
      <c r="AI6" s="345"/>
      <c r="AJ6" s="345"/>
      <c r="AK6" s="346"/>
    </row>
    <row r="7" spans="2:37" ht="63.75" customHeight="1" thickBot="1" x14ac:dyDescent="0.3">
      <c r="B7" s="347" t="s">
        <v>762</v>
      </c>
      <c r="D7" s="241" t="s">
        <v>779</v>
      </c>
      <c r="E7" s="242"/>
      <c r="F7" s="242"/>
      <c r="G7" s="242"/>
      <c r="H7" s="243"/>
      <c r="J7" s="254" t="s">
        <v>768</v>
      </c>
      <c r="K7" s="255"/>
      <c r="L7" s="255"/>
      <c r="M7" s="255"/>
      <c r="N7" s="256"/>
      <c r="P7" s="241" t="s">
        <v>786</v>
      </c>
      <c r="Q7" s="242"/>
      <c r="R7" s="242"/>
      <c r="S7" s="242"/>
      <c r="T7" s="243"/>
      <c r="W7" s="254" t="s">
        <v>780</v>
      </c>
      <c r="X7" s="255"/>
      <c r="Y7" s="255"/>
      <c r="Z7" s="255"/>
      <c r="AA7" s="255"/>
      <c r="AB7" s="255"/>
      <c r="AC7" s="256"/>
      <c r="AD7" s="341"/>
      <c r="AE7" s="254" t="s">
        <v>781</v>
      </c>
      <c r="AF7" s="255"/>
      <c r="AG7" s="255"/>
      <c r="AH7" s="255"/>
      <c r="AI7" s="255"/>
      <c r="AJ7" s="255"/>
      <c r="AK7" s="256"/>
    </row>
    <row r="8" spans="2:37" x14ac:dyDescent="0.25">
      <c r="B8" s="348" t="s">
        <v>715</v>
      </c>
      <c r="C8" s="341" t="s">
        <v>40</v>
      </c>
      <c r="D8" s="344"/>
      <c r="E8" s="345"/>
      <c r="F8" s="345"/>
      <c r="G8" s="345"/>
      <c r="H8" s="346"/>
      <c r="J8" s="263"/>
      <c r="K8" s="264"/>
      <c r="L8" s="264"/>
      <c r="M8" s="264"/>
      <c r="N8" s="265"/>
      <c r="P8" s="344"/>
      <c r="Q8" s="345"/>
      <c r="R8" s="345"/>
      <c r="S8" s="345"/>
      <c r="T8" s="346"/>
      <c r="U8" s="341"/>
      <c r="V8" s="341"/>
      <c r="W8" s="263"/>
      <c r="X8" s="264"/>
      <c r="Y8" s="264"/>
      <c r="Z8" s="264"/>
      <c r="AA8" s="264"/>
      <c r="AB8" s="264"/>
      <c r="AC8" s="265"/>
      <c r="AD8" s="341"/>
      <c r="AE8" s="263"/>
      <c r="AF8" s="264"/>
      <c r="AG8" s="264"/>
      <c r="AH8" s="264"/>
      <c r="AI8" s="264"/>
      <c r="AJ8" s="264"/>
      <c r="AK8" s="265"/>
    </row>
    <row r="9" spans="2:37" ht="60.75" thickBot="1" x14ac:dyDescent="0.3">
      <c r="B9" s="341"/>
      <c r="C9" s="341"/>
      <c r="D9" s="349" t="s">
        <v>763</v>
      </c>
      <c r="E9" s="350" t="s">
        <v>764</v>
      </c>
      <c r="F9" s="351" t="s">
        <v>765</v>
      </c>
      <c r="G9" s="350" t="s">
        <v>766</v>
      </c>
      <c r="H9" s="352" t="s">
        <v>767</v>
      </c>
      <c r="J9" s="263"/>
      <c r="K9" s="264"/>
      <c r="L9" s="264"/>
      <c r="M9" s="264"/>
      <c r="N9" s="265"/>
      <c r="P9" s="353" t="s">
        <v>787</v>
      </c>
      <c r="Q9" s="350" t="s">
        <v>719</v>
      </c>
      <c r="R9" s="350" t="str">
        <f>CONCATENATE("equivalent CO2 (en TCO2/",GENERALITES!D13,")")</f>
        <v>equivalent CO2 (en TCO2/kWh)</v>
      </c>
      <c r="S9" s="354" t="str">
        <f>CONCATENATE("mix énergétique en TCO2/",GENERALITES!D13,")")</f>
        <v>mix énergétique en TCO2/kWh)</v>
      </c>
      <c r="T9" s="346"/>
      <c r="U9" s="341"/>
      <c r="V9" s="341"/>
      <c r="W9" s="263"/>
      <c r="X9" s="264"/>
      <c r="Y9" s="264"/>
      <c r="Z9" s="264"/>
      <c r="AA9" s="264"/>
      <c r="AB9" s="264"/>
      <c r="AC9" s="265"/>
      <c r="AD9" s="341"/>
      <c r="AE9" s="275"/>
      <c r="AF9" s="276"/>
      <c r="AG9" s="276"/>
      <c r="AH9" s="276"/>
      <c r="AI9" s="276"/>
      <c r="AJ9" s="276"/>
      <c r="AK9" s="277"/>
    </row>
    <row r="10" spans="2:37" ht="30.75" thickBot="1" x14ac:dyDescent="0.3">
      <c r="B10" s="355" t="s">
        <v>753</v>
      </c>
      <c r="C10" s="341"/>
      <c r="D10" s="356" t="str">
        <f>IF(GENERALITES!B21="","",GENERALITES!B21)</f>
        <v>tomates grappe</v>
      </c>
      <c r="E10" s="357"/>
      <c r="F10" s="358"/>
      <c r="G10" s="358"/>
      <c r="H10" s="359" t="str">
        <f>IF(G10="","",G10*E10/F10)</f>
        <v/>
      </c>
      <c r="J10" s="275"/>
      <c r="K10" s="276"/>
      <c r="L10" s="276"/>
      <c r="M10" s="276"/>
      <c r="N10" s="277"/>
      <c r="P10" s="360"/>
      <c r="Q10" s="358"/>
      <c r="R10" s="361"/>
      <c r="S10" s="362">
        <f>SUM(U10:U15)</f>
        <v>0</v>
      </c>
      <c r="T10" s="346"/>
      <c r="U10" s="341">
        <f>Q10*R10</f>
        <v>0</v>
      </c>
      <c r="V10" s="341"/>
      <c r="W10" s="263"/>
      <c r="X10" s="264"/>
      <c r="Y10" s="264"/>
      <c r="Z10" s="264"/>
      <c r="AA10" s="264"/>
      <c r="AB10" s="264"/>
      <c r="AC10" s="265"/>
      <c r="AD10" s="341"/>
      <c r="AE10" s="363"/>
      <c r="AF10" s="364"/>
      <c r="AG10" s="364"/>
      <c r="AH10" s="364"/>
      <c r="AI10" s="364"/>
      <c r="AJ10" s="364"/>
      <c r="AK10" s="364"/>
    </row>
    <row r="11" spans="2:37" x14ac:dyDescent="0.25">
      <c r="B11" s="348" t="s">
        <v>716</v>
      </c>
      <c r="C11" s="341" t="s">
        <v>40</v>
      </c>
      <c r="D11" s="356" t="str">
        <f>IF(GENERALITES!B22="","",GENERALITES!B22)</f>
        <v>herbes de provence</v>
      </c>
      <c r="E11" s="358"/>
      <c r="F11" s="358"/>
      <c r="G11" s="358"/>
      <c r="H11" s="359" t="str">
        <f t="shared" ref="H11:H17" si="0">IF(G11="","",G11*E11/F11)</f>
        <v/>
      </c>
      <c r="J11" s="341"/>
      <c r="K11" s="341"/>
      <c r="L11" s="341"/>
      <c r="M11" s="341"/>
      <c r="N11" s="341"/>
      <c r="P11" s="360"/>
      <c r="Q11" s="358"/>
      <c r="R11" s="358"/>
      <c r="S11" s="345"/>
      <c r="T11" s="346"/>
      <c r="U11" s="341">
        <f t="shared" ref="U11:U15" si="1">Q11*R11</f>
        <v>0</v>
      </c>
      <c r="V11" s="341"/>
      <c r="W11" s="263"/>
      <c r="X11" s="264"/>
      <c r="Y11" s="264"/>
      <c r="Z11" s="264"/>
      <c r="AA11" s="264"/>
      <c r="AB11" s="264"/>
      <c r="AC11" s="265"/>
      <c r="AD11" s="341"/>
      <c r="AE11" s="341"/>
      <c r="AF11" s="341"/>
      <c r="AG11" s="341"/>
      <c r="AH11" s="341"/>
      <c r="AI11" s="341"/>
      <c r="AJ11" s="341"/>
      <c r="AK11" s="341"/>
    </row>
    <row r="12" spans="2:37" x14ac:dyDescent="0.25">
      <c r="B12" s="341"/>
      <c r="C12" s="341"/>
      <c r="D12" s="356" t="str">
        <f>IF(GENERALITES!B23="","",GENERALITES!B23)</f>
        <v>huile d'olive</v>
      </c>
      <c r="E12" s="358"/>
      <c r="F12" s="358"/>
      <c r="G12" s="358"/>
      <c r="H12" s="359" t="str">
        <f t="shared" si="0"/>
        <v/>
      </c>
      <c r="J12" s="341"/>
      <c r="K12" s="341"/>
      <c r="L12" s="341"/>
      <c r="M12" s="341"/>
      <c r="N12" s="341"/>
      <c r="P12" s="360"/>
      <c r="Q12" s="358"/>
      <c r="R12" s="358"/>
      <c r="S12" s="345"/>
      <c r="T12" s="346"/>
      <c r="U12" s="341">
        <f t="shared" si="1"/>
        <v>0</v>
      </c>
      <c r="V12" s="341"/>
      <c r="W12" s="263"/>
      <c r="X12" s="264"/>
      <c r="Y12" s="264"/>
      <c r="Z12" s="264"/>
      <c r="AA12" s="264"/>
      <c r="AB12" s="264"/>
      <c r="AC12" s="265"/>
      <c r="AD12" s="341"/>
      <c r="AE12" s="341"/>
      <c r="AF12" s="341"/>
      <c r="AG12" s="341"/>
      <c r="AH12" s="341"/>
      <c r="AI12" s="341"/>
      <c r="AJ12" s="341"/>
      <c r="AK12" s="341"/>
    </row>
    <row r="13" spans="2:37" ht="15.75" thickBot="1" x14ac:dyDescent="0.3">
      <c r="B13" s="341"/>
      <c r="C13" s="341"/>
      <c r="D13" s="356" t="str">
        <f>IF(GENERALITES!B24="","",GENERALITES!B24)</f>
        <v/>
      </c>
      <c r="E13" s="358"/>
      <c r="F13" s="358"/>
      <c r="G13" s="358"/>
      <c r="H13" s="359" t="str">
        <f t="shared" si="0"/>
        <v/>
      </c>
      <c r="J13" s="341"/>
      <c r="K13" s="341"/>
      <c r="L13" s="341"/>
      <c r="M13" s="341"/>
      <c r="N13" s="341"/>
      <c r="P13" s="360"/>
      <c r="Q13" s="358"/>
      <c r="R13" s="358"/>
      <c r="S13" s="345"/>
      <c r="T13" s="346"/>
      <c r="U13" s="341">
        <f t="shared" si="1"/>
        <v>0</v>
      </c>
      <c r="V13" s="341"/>
      <c r="W13" s="275"/>
      <c r="X13" s="276"/>
      <c r="Y13" s="276"/>
      <c r="Z13" s="276"/>
      <c r="AA13" s="276"/>
      <c r="AB13" s="276"/>
      <c r="AC13" s="277"/>
      <c r="AD13" s="341"/>
      <c r="AE13" s="341"/>
      <c r="AF13" s="341"/>
      <c r="AG13" s="341"/>
      <c r="AH13" s="341"/>
      <c r="AI13" s="341"/>
      <c r="AJ13" s="341"/>
      <c r="AK13" s="341"/>
    </row>
    <row r="14" spans="2:37" x14ac:dyDescent="0.25">
      <c r="B14" s="341"/>
      <c r="C14" s="341"/>
      <c r="D14" s="356" t="str">
        <f>IF(GENERALITES!B25="","",GENERALITES!B25)</f>
        <v/>
      </c>
      <c r="E14" s="358"/>
      <c r="F14" s="358"/>
      <c r="G14" s="358"/>
      <c r="H14" s="359" t="str">
        <f t="shared" si="0"/>
        <v/>
      </c>
      <c r="J14" s="341"/>
      <c r="K14" s="341"/>
      <c r="L14" s="341"/>
      <c r="M14" s="341"/>
      <c r="N14" s="341"/>
      <c r="P14" s="360"/>
      <c r="Q14" s="358"/>
      <c r="R14" s="358"/>
      <c r="S14" s="345"/>
      <c r="T14" s="346"/>
      <c r="U14" s="341">
        <f t="shared" si="1"/>
        <v>0</v>
      </c>
      <c r="V14" s="341"/>
      <c r="W14" s="365"/>
      <c r="X14" s="366"/>
      <c r="Y14" s="366"/>
      <c r="Z14" s="366"/>
      <c r="AA14" s="366"/>
      <c r="AB14" s="366"/>
      <c r="AC14" s="367"/>
      <c r="AD14" s="341"/>
      <c r="AE14" s="341"/>
      <c r="AF14" s="341"/>
      <c r="AG14" s="341"/>
      <c r="AH14" s="341"/>
      <c r="AI14" s="341"/>
      <c r="AJ14" s="341"/>
      <c r="AK14" s="341"/>
    </row>
    <row r="15" spans="2:37" ht="60.75" thickBot="1" x14ac:dyDescent="0.3">
      <c r="B15" s="341"/>
      <c r="C15" s="341"/>
      <c r="D15" s="356" t="str">
        <f>IF(GENERALITES!B26="","",GENERALITES!B26)</f>
        <v/>
      </c>
      <c r="E15" s="358"/>
      <c r="F15" s="358"/>
      <c r="G15" s="358"/>
      <c r="H15" s="359" t="str">
        <f t="shared" si="0"/>
        <v/>
      </c>
      <c r="J15" s="341"/>
      <c r="K15" s="341"/>
      <c r="L15" s="341"/>
      <c r="M15" s="341"/>
      <c r="N15" s="341"/>
      <c r="P15" s="368"/>
      <c r="Q15" s="369"/>
      <c r="R15" s="369"/>
      <c r="S15" s="370"/>
      <c r="T15" s="371"/>
      <c r="U15" s="341">
        <f t="shared" si="1"/>
        <v>0</v>
      </c>
      <c r="V15" s="341"/>
      <c r="W15" s="344"/>
      <c r="X15" s="372"/>
      <c r="Y15" s="373" t="s">
        <v>731</v>
      </c>
      <c r="Z15" s="373" t="s">
        <v>732</v>
      </c>
      <c r="AA15" s="374" t="s">
        <v>745</v>
      </c>
      <c r="AB15" s="345"/>
      <c r="AC15" s="346"/>
      <c r="AD15" s="341"/>
      <c r="AE15" s="341"/>
      <c r="AF15" s="341"/>
      <c r="AG15" s="341"/>
      <c r="AH15" s="341"/>
      <c r="AI15" s="341"/>
      <c r="AJ15" s="341"/>
      <c r="AK15" s="341"/>
    </row>
    <row r="16" spans="2:37" ht="15.75" thickBot="1" x14ac:dyDescent="0.3">
      <c r="B16" s="341"/>
      <c r="C16" s="341"/>
      <c r="D16" s="356" t="str">
        <f>IF(GENERALITES!B27="","",GENERALITES!B27)</f>
        <v/>
      </c>
      <c r="E16" s="358"/>
      <c r="F16" s="358"/>
      <c r="G16" s="358"/>
      <c r="H16" s="359" t="str">
        <f t="shared" si="0"/>
        <v/>
      </c>
      <c r="J16" s="341"/>
      <c r="K16" s="341"/>
      <c r="L16" s="341"/>
      <c r="M16" s="341"/>
      <c r="N16" s="341"/>
      <c r="P16" s="341"/>
      <c r="Q16" s="341"/>
      <c r="R16" s="341"/>
      <c r="S16" s="345"/>
      <c r="T16" s="341"/>
      <c r="U16" s="341"/>
      <c r="V16" s="341"/>
      <c r="W16" s="344"/>
      <c r="X16" s="375" t="s">
        <v>733</v>
      </c>
      <c r="Y16" s="376"/>
      <c r="Z16" s="376"/>
      <c r="AA16" s="377" t="e">
        <f>Z27/Y27</f>
        <v>#DIV/0!</v>
      </c>
      <c r="AB16" s="345"/>
      <c r="AC16" s="346"/>
      <c r="AD16" s="341"/>
      <c r="AE16" s="341"/>
      <c r="AF16" s="341"/>
      <c r="AG16" s="341"/>
      <c r="AH16" s="341"/>
      <c r="AI16" s="341"/>
      <c r="AJ16" s="341"/>
      <c r="AK16" s="341"/>
    </row>
    <row r="17" spans="2:37" x14ac:dyDescent="0.25">
      <c r="B17" s="341"/>
      <c r="C17" s="341"/>
      <c r="D17" s="356" t="str">
        <f>IF(GENERALITES!B28="","",GENERALITES!B28)</f>
        <v/>
      </c>
      <c r="E17" s="358"/>
      <c r="F17" s="358"/>
      <c r="G17" s="358"/>
      <c r="H17" s="359" t="str">
        <f t="shared" si="0"/>
        <v/>
      </c>
      <c r="J17" s="341"/>
      <c r="K17" s="341"/>
      <c r="L17" s="341"/>
      <c r="M17" s="341"/>
      <c r="N17" s="341"/>
      <c r="P17" s="341"/>
      <c r="Q17" s="341"/>
      <c r="R17" s="341"/>
      <c r="S17" s="345"/>
      <c r="T17" s="341"/>
      <c r="U17" s="341"/>
      <c r="V17" s="341"/>
      <c r="W17" s="344"/>
      <c r="X17" s="375" t="s">
        <v>734</v>
      </c>
      <c r="Y17" s="376"/>
      <c r="Z17" s="376"/>
      <c r="AA17" s="372"/>
      <c r="AB17" s="345"/>
      <c r="AC17" s="346"/>
      <c r="AD17" s="341"/>
      <c r="AE17" s="341"/>
      <c r="AF17" s="341"/>
      <c r="AG17" s="341"/>
      <c r="AH17" s="341"/>
      <c r="AI17" s="341"/>
      <c r="AJ17" s="341"/>
      <c r="AK17" s="341"/>
    </row>
    <row r="18" spans="2:37" x14ac:dyDescent="0.25">
      <c r="B18" s="341"/>
      <c r="C18" s="341"/>
      <c r="D18" s="356" t="str">
        <f>IF(GENERALITES!B36="","",GENERALITES!B36)</f>
        <v>cagette</v>
      </c>
      <c r="E18" s="358"/>
      <c r="F18" s="358"/>
      <c r="G18" s="358"/>
      <c r="H18" s="359" t="str">
        <f t="shared" ref="H18:H23" si="2">IF(G18="","",G18*E18/F18)</f>
        <v/>
      </c>
      <c r="J18" s="341"/>
      <c r="K18" s="341"/>
      <c r="L18" s="341"/>
      <c r="M18" s="341"/>
      <c r="N18" s="341"/>
      <c r="P18" s="341"/>
      <c r="Q18" s="341"/>
      <c r="R18" s="341"/>
      <c r="S18" s="345"/>
      <c r="T18" s="341"/>
      <c r="U18" s="341"/>
      <c r="V18" s="341"/>
      <c r="W18" s="344"/>
      <c r="X18" s="375" t="s">
        <v>735</v>
      </c>
      <c r="Y18" s="376"/>
      <c r="Z18" s="376"/>
      <c r="AA18" s="372"/>
      <c r="AB18" s="345"/>
      <c r="AC18" s="346"/>
      <c r="AD18" s="341"/>
      <c r="AE18" s="341"/>
      <c r="AF18" s="341"/>
      <c r="AG18" s="341"/>
      <c r="AH18" s="341"/>
      <c r="AI18" s="341"/>
      <c r="AJ18" s="341"/>
      <c r="AK18" s="341"/>
    </row>
    <row r="19" spans="2:37" x14ac:dyDescent="0.25">
      <c r="B19" s="341"/>
      <c r="C19" s="341"/>
      <c r="D19" s="356" t="str">
        <f>IF(GENERALITES!B37="","",GENERALITES!B37)</f>
        <v>carton</v>
      </c>
      <c r="E19" s="358"/>
      <c r="F19" s="358"/>
      <c r="G19" s="358"/>
      <c r="H19" s="359" t="str">
        <f t="shared" si="2"/>
        <v/>
      </c>
      <c r="J19" s="341"/>
      <c r="K19" s="341"/>
      <c r="L19" s="341"/>
      <c r="M19" s="341"/>
      <c r="N19" s="341"/>
      <c r="P19" s="341"/>
      <c r="Q19" s="341"/>
      <c r="R19" s="341"/>
      <c r="S19" s="345"/>
      <c r="T19" s="341"/>
      <c r="U19" s="341"/>
      <c r="V19" s="341"/>
      <c r="W19" s="344"/>
      <c r="X19" s="375" t="s">
        <v>736</v>
      </c>
      <c r="Y19" s="376"/>
      <c r="Z19" s="376"/>
      <c r="AA19" s="372"/>
      <c r="AB19" s="345"/>
      <c r="AC19" s="346"/>
      <c r="AD19" s="341"/>
      <c r="AE19" s="341"/>
      <c r="AF19" s="341"/>
      <c r="AG19" s="341"/>
      <c r="AH19" s="341"/>
      <c r="AI19" s="341"/>
      <c r="AJ19" s="341"/>
      <c r="AK19" s="341"/>
    </row>
    <row r="20" spans="2:37" x14ac:dyDescent="0.25">
      <c r="B20" s="341"/>
      <c r="C20" s="341"/>
      <c r="D20" s="356" t="str">
        <f>IF(GENERALITES!B38="","",GENERALITES!B38)</f>
        <v>bocaux</v>
      </c>
      <c r="E20" s="358"/>
      <c r="F20" s="358"/>
      <c r="G20" s="358"/>
      <c r="H20" s="359" t="str">
        <f t="shared" si="2"/>
        <v/>
      </c>
      <c r="J20" s="341"/>
      <c r="K20" s="341"/>
      <c r="L20" s="341"/>
      <c r="M20" s="341"/>
      <c r="N20" s="341"/>
      <c r="P20" s="341"/>
      <c r="Q20" s="341"/>
      <c r="R20" s="341"/>
      <c r="S20" s="345"/>
      <c r="T20" s="341"/>
      <c r="U20" s="341"/>
      <c r="V20" s="341"/>
      <c r="W20" s="344"/>
      <c r="X20" s="375" t="s">
        <v>737</v>
      </c>
      <c r="Y20" s="376"/>
      <c r="Z20" s="376"/>
      <c r="AA20" s="372"/>
      <c r="AB20" s="345"/>
      <c r="AC20" s="346"/>
      <c r="AD20" s="341"/>
      <c r="AE20" s="341"/>
      <c r="AF20" s="341"/>
      <c r="AG20" s="341"/>
      <c r="AH20" s="341"/>
      <c r="AI20" s="341"/>
      <c r="AJ20" s="341"/>
      <c r="AK20" s="341"/>
    </row>
    <row r="21" spans="2:37" x14ac:dyDescent="0.25">
      <c r="B21" s="341"/>
      <c r="C21" s="341"/>
      <c r="D21" s="356" t="str">
        <f>IF(GENERALITES!B39="","",GENERALITES!B39)</f>
        <v>couvercle</v>
      </c>
      <c r="E21" s="358"/>
      <c r="F21" s="358"/>
      <c r="G21" s="358"/>
      <c r="H21" s="359" t="str">
        <f t="shared" si="2"/>
        <v/>
      </c>
      <c r="J21" s="341"/>
      <c r="K21" s="341"/>
      <c r="L21" s="341"/>
      <c r="M21" s="341"/>
      <c r="N21" s="341"/>
      <c r="P21" s="341"/>
      <c r="Q21" s="341"/>
      <c r="R21" s="341"/>
      <c r="S21" s="345"/>
      <c r="T21" s="341"/>
      <c r="U21" s="341"/>
      <c r="V21" s="341"/>
      <c r="W21" s="344"/>
      <c r="X21" s="375" t="s">
        <v>738</v>
      </c>
      <c r="Y21" s="376"/>
      <c r="Z21" s="376"/>
      <c r="AA21" s="372"/>
      <c r="AB21" s="345"/>
      <c r="AC21" s="346"/>
      <c r="AD21" s="341"/>
      <c r="AE21" s="341"/>
      <c r="AF21" s="341"/>
      <c r="AG21" s="341"/>
      <c r="AH21" s="341"/>
      <c r="AI21" s="341"/>
      <c r="AJ21" s="341"/>
      <c r="AK21" s="341"/>
    </row>
    <row r="22" spans="2:37" x14ac:dyDescent="0.25">
      <c r="B22" s="341"/>
      <c r="C22" s="341"/>
      <c r="D22" s="356" t="str">
        <f>IF(GENERALITES!B40="","",GENERALITES!B40)</f>
        <v/>
      </c>
      <c r="E22" s="358"/>
      <c r="F22" s="358"/>
      <c r="G22" s="358"/>
      <c r="H22" s="359" t="str">
        <f t="shared" si="2"/>
        <v/>
      </c>
      <c r="J22" s="341"/>
      <c r="K22" s="341"/>
      <c r="L22" s="341"/>
      <c r="M22" s="341"/>
      <c r="N22" s="341"/>
      <c r="P22" s="341"/>
      <c r="Q22" s="341"/>
      <c r="R22" s="341"/>
      <c r="S22" s="345"/>
      <c r="T22" s="341"/>
      <c r="U22" s="341"/>
      <c r="V22" s="341"/>
      <c r="W22" s="344"/>
      <c r="X22" s="375" t="s">
        <v>739</v>
      </c>
      <c r="Y22" s="376"/>
      <c r="Z22" s="376"/>
      <c r="AA22" s="372"/>
      <c r="AB22" s="345"/>
      <c r="AC22" s="346"/>
      <c r="AD22" s="341"/>
      <c r="AE22" s="341"/>
      <c r="AF22" s="341"/>
      <c r="AG22" s="341"/>
      <c r="AH22" s="341"/>
      <c r="AI22" s="341"/>
      <c r="AJ22" s="341"/>
      <c r="AK22" s="341"/>
    </row>
    <row r="23" spans="2:37" ht="15.75" thickBot="1" x14ac:dyDescent="0.3">
      <c r="B23" s="341"/>
      <c r="C23" s="341"/>
      <c r="D23" s="378" t="str">
        <f>IF(GENERALITES!B41="","",GENERALITES!B41)</f>
        <v/>
      </c>
      <c r="E23" s="369"/>
      <c r="F23" s="369"/>
      <c r="G23" s="369"/>
      <c r="H23" s="379" t="str">
        <f t="shared" si="2"/>
        <v/>
      </c>
      <c r="J23" s="341"/>
      <c r="K23" s="341"/>
      <c r="L23" s="341"/>
      <c r="M23" s="341"/>
      <c r="N23" s="341"/>
      <c r="P23" s="341"/>
      <c r="Q23" s="341"/>
      <c r="R23" s="341"/>
      <c r="S23" s="345"/>
      <c r="T23" s="341"/>
      <c r="U23" s="341"/>
      <c r="V23" s="341"/>
      <c r="W23" s="344"/>
      <c r="X23" s="375" t="s">
        <v>740</v>
      </c>
      <c r="Y23" s="376"/>
      <c r="Z23" s="376"/>
      <c r="AA23" s="372"/>
      <c r="AB23" s="345"/>
      <c r="AC23" s="346"/>
      <c r="AD23" s="341"/>
      <c r="AE23" s="341"/>
      <c r="AF23" s="341"/>
      <c r="AG23" s="341"/>
      <c r="AH23" s="341"/>
      <c r="AI23" s="341"/>
      <c r="AJ23" s="341"/>
      <c r="AK23" s="341"/>
    </row>
    <row r="24" spans="2:37" x14ac:dyDescent="0.25">
      <c r="B24" s="341"/>
      <c r="C24" s="341"/>
      <c r="D24" s="341"/>
      <c r="E24" s="341"/>
      <c r="F24" s="341"/>
      <c r="G24" s="341"/>
      <c r="H24" s="341"/>
      <c r="J24" s="341"/>
      <c r="K24" s="341"/>
      <c r="L24" s="341"/>
      <c r="M24" s="341"/>
      <c r="N24" s="341"/>
      <c r="P24" s="341"/>
      <c r="Q24" s="341"/>
      <c r="R24" s="341"/>
      <c r="S24" s="345"/>
      <c r="T24" s="341"/>
      <c r="U24" s="341"/>
      <c r="V24" s="341"/>
      <c r="W24" s="344"/>
      <c r="X24" s="380" t="s">
        <v>741</v>
      </c>
      <c r="Y24" s="376"/>
      <c r="Z24" s="376"/>
      <c r="AA24" s="372"/>
      <c r="AB24" s="345"/>
      <c r="AC24" s="346"/>
      <c r="AD24" s="341"/>
      <c r="AE24" s="341"/>
      <c r="AF24" s="341"/>
      <c r="AG24" s="341"/>
      <c r="AH24" s="341"/>
      <c r="AI24" s="341"/>
      <c r="AJ24" s="341"/>
      <c r="AK24" s="341"/>
    </row>
    <row r="25" spans="2:37" x14ac:dyDescent="0.25">
      <c r="B25" s="341"/>
      <c r="C25" s="341"/>
      <c r="D25" s="341"/>
      <c r="E25" s="341"/>
      <c r="F25" s="341"/>
      <c r="G25" s="341"/>
      <c r="H25" s="341"/>
      <c r="J25" s="341"/>
      <c r="K25" s="341"/>
      <c r="L25" s="341"/>
      <c r="M25" s="341"/>
      <c r="N25" s="341"/>
      <c r="P25" s="341"/>
      <c r="Q25" s="341"/>
      <c r="R25" s="341"/>
      <c r="S25" s="345"/>
      <c r="T25" s="341"/>
      <c r="U25" s="341"/>
      <c r="V25" s="341"/>
      <c r="W25" s="344"/>
      <c r="X25" s="380" t="s">
        <v>742</v>
      </c>
      <c r="Y25" s="376"/>
      <c r="Z25" s="376"/>
      <c r="AA25" s="372"/>
      <c r="AB25" s="345"/>
      <c r="AC25" s="346"/>
      <c r="AD25" s="341"/>
      <c r="AE25" s="341"/>
      <c r="AF25" s="341"/>
      <c r="AG25" s="341"/>
      <c r="AH25" s="341"/>
      <c r="AI25" s="341"/>
      <c r="AJ25" s="341"/>
      <c r="AK25" s="341"/>
    </row>
    <row r="26" spans="2:37" x14ac:dyDescent="0.25">
      <c r="B26" s="341"/>
      <c r="C26" s="341"/>
      <c r="D26" s="341"/>
      <c r="E26" s="341"/>
      <c r="F26" s="341"/>
      <c r="G26" s="341"/>
      <c r="H26" s="341"/>
      <c r="J26" s="341"/>
      <c r="K26" s="341"/>
      <c r="L26" s="341"/>
      <c r="M26" s="341"/>
      <c r="N26" s="341"/>
      <c r="P26" s="341"/>
      <c r="Q26" s="341"/>
      <c r="R26" s="341"/>
      <c r="S26" s="345"/>
      <c r="T26" s="341"/>
      <c r="U26" s="341"/>
      <c r="V26" s="341"/>
      <c r="W26" s="344"/>
      <c r="X26" s="380" t="s">
        <v>743</v>
      </c>
      <c r="Y26" s="376"/>
      <c r="Z26" s="376"/>
      <c r="AA26" s="372"/>
      <c r="AB26" s="345"/>
      <c r="AC26" s="346"/>
      <c r="AD26" s="341"/>
      <c r="AE26" s="341"/>
      <c r="AF26" s="341"/>
      <c r="AG26" s="341"/>
      <c r="AH26" s="341"/>
      <c r="AI26" s="341"/>
      <c r="AJ26" s="341"/>
      <c r="AK26" s="341"/>
    </row>
    <row r="27" spans="2:37" ht="15.75" thickBot="1" x14ac:dyDescent="0.3">
      <c r="B27" s="341"/>
      <c r="C27" s="341"/>
      <c r="D27" s="341"/>
      <c r="E27" s="341"/>
      <c r="F27" s="341"/>
      <c r="G27" s="341"/>
      <c r="H27" s="341"/>
      <c r="J27" s="341"/>
      <c r="K27" s="341"/>
      <c r="L27" s="341"/>
      <c r="M27" s="341"/>
      <c r="N27" s="341"/>
      <c r="P27" s="341"/>
      <c r="Q27" s="341"/>
      <c r="R27" s="341"/>
      <c r="S27" s="345"/>
      <c r="T27" s="341"/>
      <c r="U27" s="341"/>
      <c r="V27" s="341"/>
      <c r="W27" s="381"/>
      <c r="X27" s="382" t="s">
        <v>744</v>
      </c>
      <c r="Y27" s="383" t="e">
        <f>SUM(Y16:Y26)/COUNTA(Y16:Y26)</f>
        <v>#DIV/0!</v>
      </c>
      <c r="Z27" s="383" t="e">
        <f>SUM(Z16:Z26)/COUNTA(Z16:Z26)</f>
        <v>#DIV/0!</v>
      </c>
      <c r="AA27" s="384"/>
      <c r="AB27" s="370"/>
      <c r="AC27" s="371"/>
      <c r="AD27" s="341"/>
      <c r="AE27" s="341"/>
      <c r="AF27" s="341"/>
      <c r="AG27" s="341"/>
      <c r="AH27" s="341"/>
      <c r="AI27" s="341"/>
      <c r="AJ27" s="341"/>
      <c r="AK27" s="341"/>
    </row>
    <row r="28" spans="2:37" s="341" customFormat="1" x14ac:dyDescent="0.25"/>
    <row r="29" spans="2:37" s="341" customFormat="1" x14ac:dyDescent="0.25"/>
    <row r="30" spans="2:37" s="341" customFormat="1" x14ac:dyDescent="0.25"/>
    <row r="31" spans="2:37" s="341" customFormat="1" x14ac:dyDescent="0.25"/>
    <row r="32" spans="2:37" s="341" customFormat="1" x14ac:dyDescent="0.25"/>
    <row r="33" s="341" customFormat="1" x14ac:dyDescent="0.25"/>
    <row r="34" s="341" customFormat="1" x14ac:dyDescent="0.25"/>
    <row r="35" s="341" customFormat="1" x14ac:dyDescent="0.25"/>
    <row r="36" s="341" customFormat="1" x14ac:dyDescent="0.25"/>
    <row r="37" s="341" customFormat="1" x14ac:dyDescent="0.25"/>
    <row r="38" s="341" customFormat="1" x14ac:dyDescent="0.25"/>
    <row r="39" s="341" customFormat="1" x14ac:dyDescent="0.25"/>
    <row r="40" s="341" customFormat="1" x14ac:dyDescent="0.25"/>
    <row r="41" s="341" customFormat="1" x14ac:dyDescent="0.25"/>
    <row r="42" s="341" customFormat="1" x14ac:dyDescent="0.25"/>
    <row r="43" s="341" customFormat="1" x14ac:dyDescent="0.25"/>
    <row r="44" s="341" customFormat="1" x14ac:dyDescent="0.25"/>
    <row r="45" s="341" customFormat="1" x14ac:dyDescent="0.25"/>
    <row r="46" s="341" customFormat="1" x14ac:dyDescent="0.25"/>
    <row r="47" s="341" customFormat="1" x14ac:dyDescent="0.25"/>
    <row r="48" s="341" customFormat="1" x14ac:dyDescent="0.25"/>
    <row r="49" s="341" customFormat="1" x14ac:dyDescent="0.25"/>
    <row r="50" s="341" customFormat="1" x14ac:dyDescent="0.25"/>
    <row r="51" s="341" customFormat="1" x14ac:dyDescent="0.25"/>
    <row r="52" s="341" customFormat="1" x14ac:dyDescent="0.25"/>
    <row r="53" s="341" customFormat="1" x14ac:dyDescent="0.25"/>
  </sheetData>
  <sheetProtection algorithmName="SHA-512" hashValue="rn7Q1s0MidLmxOOl6y7pNJvHBdDIxouVb77wkZ77TCj7sNoYzM6YYsCxXg35TaY4QPrhXbbDeRlQLYGkI4rkKA==" saltValue="UA1Ri4hawxcj0mxyPnQByQ==" spinCount="100000" sheet="1" objects="1" scenarios="1"/>
  <mergeCells count="12">
    <mergeCell ref="AE5:AK5"/>
    <mergeCell ref="AE7:AK9"/>
    <mergeCell ref="W7:AC13"/>
    <mergeCell ref="W5:AC5"/>
    <mergeCell ref="P5:T5"/>
    <mergeCell ref="P7:T7"/>
    <mergeCell ref="D5:H5"/>
    <mergeCell ref="D7:H7"/>
    <mergeCell ref="B1:G1"/>
    <mergeCell ref="J5:N5"/>
    <mergeCell ref="J7:N10"/>
    <mergeCell ref="B3:G3"/>
  </mergeCells>
  <hyperlinks>
    <hyperlink ref="B8" r:id="rId1"/>
    <hyperlink ref="B11" r:id="rId2"/>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P142"/>
  <sheetViews>
    <sheetView showGridLines="0" topLeftCell="A4" zoomScaleNormal="100" workbookViewId="0"/>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3.5703125" style="386" bestFit="1" customWidth="1"/>
    <col min="17" max="17" width="6.28515625" style="386" customWidth="1"/>
    <col min="18" max="18" width="9.42578125" style="386" customWidth="1"/>
    <col min="19" max="19" width="6.28515625" style="386" customWidth="1"/>
    <col min="20" max="20" width="1.140625" style="386" customWidth="1"/>
    <col min="21" max="21" width="11.7109375" style="386" bestFit="1" customWidth="1"/>
    <col min="22" max="22" width="6.42578125" style="386" customWidth="1"/>
    <col min="23" max="23" width="2.140625" style="386" customWidth="1"/>
    <col min="24" max="24" width="9.42578125" style="386" customWidth="1"/>
    <col min="25" max="25" width="12.140625" style="386" customWidth="1"/>
    <col min="26" max="26" width="9.42578125" style="386" customWidth="1"/>
    <col min="27" max="27" width="6.28515625" style="386" customWidth="1"/>
    <col min="28" max="28" width="9.42578125" style="386" customWidth="1"/>
    <col min="29" max="29" width="12.140625" style="386" customWidth="1"/>
    <col min="30" max="30" width="1.140625" style="386" customWidth="1"/>
    <col min="31" max="31" width="9.42578125" style="386" customWidth="1"/>
    <col min="32" max="32" width="6.28515625" style="386" customWidth="1"/>
    <col min="33" max="33" width="2.140625" style="386" customWidth="1"/>
    <col min="34" max="34" width="9.42578125" style="386" customWidth="1"/>
    <col min="35" max="35" width="6.28515625" style="386" customWidth="1"/>
    <col min="36" max="36" width="9.42578125" style="386" customWidth="1"/>
    <col min="37" max="37" width="6.28515625" style="386" customWidth="1"/>
    <col min="38" max="38" width="9.42578125" style="386" customWidth="1"/>
    <col min="39" max="39" width="6.28515625" style="386" customWidth="1"/>
    <col min="40" max="40" width="2.140625" style="386" customWidth="1"/>
    <col min="41" max="41" width="9.42578125" style="386" customWidth="1"/>
    <col min="42" max="42" width="12.140625" style="386" customWidth="1"/>
    <col min="43" max="43" width="9.42578125" style="386" customWidth="1"/>
    <col min="44" max="44" width="6.28515625" style="386" customWidth="1"/>
    <col min="45" max="45" width="9.42578125" style="386" customWidth="1"/>
    <col min="46" max="46" width="6.28515625" style="386" customWidth="1"/>
    <col min="47" max="47" width="9.42578125" style="386" customWidth="1"/>
    <col min="48" max="48" width="6.28515625" style="386" customWidth="1"/>
    <col min="49" max="49" width="9.42578125" style="386" customWidth="1"/>
    <col min="50" max="50" width="6.28515625" style="386" customWidth="1"/>
    <col min="51" max="51" width="9.42578125" style="386" customWidth="1"/>
    <col min="52" max="52" width="8.42578125" style="386" customWidth="1"/>
    <col min="53" max="53" width="9.42578125" style="386" customWidth="1"/>
    <col min="54" max="54" width="6.28515625" style="386" customWidth="1"/>
    <col min="55" max="55" width="9.42578125" style="386" customWidth="1"/>
    <col min="56" max="56" width="6.28515625" style="386" customWidth="1"/>
    <col min="57" max="57" width="2.140625" style="386" customWidth="1"/>
    <col min="58" max="58" width="9.42578125" style="386" customWidth="1"/>
    <col min="59" max="59" width="12" style="386" customWidth="1"/>
    <col min="60" max="60" width="9.42578125" style="386" customWidth="1"/>
    <col min="61" max="61" width="6.28515625" style="386" customWidth="1"/>
    <col min="62" max="62" width="9.42578125" style="386" customWidth="1"/>
    <col min="63" max="63" width="6.28515625" style="386" customWidth="1"/>
    <col min="64" max="64" width="2.140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18.7109375" style="386" customWidth="1"/>
    <col min="75" max="75" width="9.42578125" style="386" customWidth="1"/>
    <col min="76" max="76" width="6.28515625" style="386" customWidth="1"/>
    <col min="77" max="77" width="9.42578125" style="386" customWidth="1"/>
    <col min="78" max="78" width="9" style="386" customWidth="1"/>
    <col min="79" max="79" width="9.42578125" style="386" customWidth="1"/>
    <col min="80" max="80" width="6.28515625" style="386" customWidth="1"/>
    <col min="81" max="81" width="9.42578125" style="386" customWidth="1"/>
    <col min="82" max="82" width="6.28515625" style="386" customWidth="1"/>
    <col min="83" max="83" width="2.140625" style="386" customWidth="1"/>
    <col min="84" max="84" width="18.7109375" style="386" customWidth="1"/>
    <col min="85" max="85" width="9.42578125" style="386" customWidth="1"/>
    <col min="86" max="86" width="6.28515625" style="386" customWidth="1"/>
    <col min="87" max="87" width="9.42578125" style="386" customWidth="1"/>
    <col min="88" max="88" width="6.42578125" style="386" customWidth="1"/>
    <col min="89" max="89" width="9.42578125" style="386" customWidth="1"/>
    <col min="90" max="90" width="6.28515625" style="386" customWidth="1"/>
    <col min="91" max="91" width="9.42578125" style="386" customWidth="1"/>
    <col min="92" max="92" width="6.42578125" style="386" customWidth="1"/>
    <col min="93" max="93" width="9.42578125" style="386" customWidth="1"/>
    <col min="94" max="94" width="6.42578125" style="386" customWidth="1"/>
    <col min="95" max="95" width="2.140625" style="386" customWidth="1"/>
    <col min="96" max="96" width="12.85546875" style="386" customWidth="1"/>
    <col min="97" max="97" width="9.42578125" style="386" customWidth="1"/>
    <col min="98" max="98" width="8.28515625" style="386" customWidth="1"/>
    <col min="99" max="99" width="18.7109375" style="386" customWidth="1"/>
    <col min="100" max="100" width="9.42578125" style="386" customWidth="1"/>
    <col min="101" max="101" width="8.28515625" style="386" customWidth="1"/>
    <col min="102" max="102" width="9.42578125" style="386" customWidth="1"/>
    <col min="103" max="103" width="8.28515625" style="386" customWidth="1"/>
    <col min="104" max="104" width="9.42578125" style="386" customWidth="1"/>
    <col min="105" max="105" width="6.28515625" style="386" customWidth="1"/>
    <col min="106" max="106" width="9.42578125" style="386" customWidth="1"/>
    <col min="107" max="107" width="6.28515625" style="386" customWidth="1"/>
    <col min="108" max="108" width="2.140625" style="386" customWidth="1"/>
    <col min="109" max="109" width="18.7109375" style="386" customWidth="1"/>
    <col min="110" max="110" width="9.42578125" style="386" customWidth="1"/>
    <col min="111" max="111" width="6.28515625" style="386" customWidth="1"/>
    <col min="112" max="112" width="9.42578125" style="386" customWidth="1"/>
    <col min="113" max="113" width="6.28515625" style="386" customWidth="1"/>
    <col min="114" max="114" width="9.42578125" style="386" customWidth="1"/>
    <col min="115" max="115" width="6.28515625" style="386" customWidth="1"/>
    <col min="116" max="116" width="2.140625" style="386" customWidth="1"/>
    <col min="117" max="117" width="9.42578125" style="386" customWidth="1"/>
    <col min="118" max="118" width="12" style="386" customWidth="1"/>
    <col min="119" max="119" width="9.42578125" style="386" customWidth="1"/>
    <col min="120" max="120" width="6.28515625" style="386" customWidth="1"/>
    <col min="121" max="16384" width="11.42578125" style="386"/>
  </cols>
  <sheetData>
    <row r="1" spans="1:120" ht="24" thickBot="1" x14ac:dyDescent="0.4">
      <c r="A1" s="385"/>
      <c r="B1" s="178" t="s">
        <v>783</v>
      </c>
      <c r="C1" s="179"/>
      <c r="D1" s="179"/>
      <c r="E1" s="179"/>
      <c r="F1" s="179"/>
      <c r="G1" s="179"/>
      <c r="H1" s="179"/>
      <c r="I1" s="179"/>
      <c r="J1" s="179"/>
      <c r="K1" s="180"/>
    </row>
    <row r="2" spans="1:120" ht="31.5" customHeight="1" x14ac:dyDescent="0.25">
      <c r="B2" s="387"/>
      <c r="C2" s="387"/>
      <c r="D2" s="387"/>
      <c r="E2" s="387"/>
      <c r="F2" s="387"/>
      <c r="G2" s="387"/>
      <c r="H2" s="387"/>
      <c r="I2" s="387"/>
      <c r="J2" s="387"/>
      <c r="K2" s="387"/>
      <c r="L2" s="387"/>
      <c r="M2" s="387"/>
      <c r="N2" s="254" t="s">
        <v>782</v>
      </c>
      <c r="O2" s="255"/>
      <c r="P2" s="255"/>
      <c r="Q2" s="255"/>
      <c r="R2" s="255"/>
      <c r="S2" s="255"/>
      <c r="T2" s="255"/>
      <c r="U2" s="255"/>
      <c r="V2" s="255"/>
      <c r="W2" s="255"/>
      <c r="X2" s="255"/>
      <c r="Y2" s="255"/>
      <c r="Z2" s="256"/>
      <c r="AA2" s="387"/>
      <c r="AB2" s="387"/>
      <c r="AC2" s="387"/>
      <c r="AD2" s="387"/>
      <c r="AE2" s="387"/>
      <c r="AF2" s="387"/>
    </row>
    <row r="3" spans="1:120" ht="18" customHeight="1" x14ac:dyDescent="0.25">
      <c r="A3" s="388"/>
      <c r="B3" s="389"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row>
    <row r="4" spans="1:120" ht="25.5" customHeight="1" thickBot="1" x14ac:dyDescent="0.3">
      <c r="B4" s="390" t="s">
        <v>801</v>
      </c>
      <c r="C4" s="391"/>
      <c r="D4" s="391"/>
      <c r="E4" s="391"/>
      <c r="F4" s="391"/>
      <c r="G4" s="391"/>
      <c r="H4" s="391"/>
      <c r="I4" s="391"/>
      <c r="J4" s="391"/>
      <c r="K4" s="391"/>
      <c r="L4" s="392"/>
      <c r="M4" s="393"/>
      <c r="N4" s="275"/>
      <c r="O4" s="276"/>
      <c r="P4" s="276"/>
      <c r="Q4" s="276"/>
      <c r="R4" s="276"/>
      <c r="S4" s="276"/>
      <c r="T4" s="276"/>
      <c r="U4" s="276"/>
      <c r="V4" s="276"/>
      <c r="W4" s="276"/>
      <c r="X4" s="276"/>
      <c r="Y4" s="276"/>
      <c r="Z4" s="277"/>
    </row>
    <row r="5" spans="1:120" ht="15.75" thickBot="1" x14ac:dyDescent="0.3">
      <c r="A5" s="388"/>
      <c r="U5" s="388"/>
      <c r="V5" s="388"/>
      <c r="W5" s="388"/>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row>
    <row r="6" spans="1:120" ht="30" customHeight="1" thickBot="1" x14ac:dyDescent="0.3">
      <c r="A6" s="388"/>
      <c r="B6" s="394" t="s">
        <v>711</v>
      </c>
      <c r="C6" s="395"/>
      <c r="D6" s="395"/>
      <c r="E6" s="395"/>
      <c r="F6" s="395"/>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7"/>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row>
    <row r="7" spans="1:120"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42"/>
      <c r="AH7" s="342"/>
      <c r="AI7" s="398"/>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row>
    <row r="8" spans="1:120" ht="15" customHeight="1" outlineLevel="1" thickBot="1" x14ac:dyDescent="0.3">
      <c r="A8" s="342"/>
      <c r="B8" s="399" t="s">
        <v>709</v>
      </c>
      <c r="C8" s="400"/>
      <c r="D8" s="342"/>
      <c r="E8" s="251" t="s">
        <v>710</v>
      </c>
      <c r="F8" s="252"/>
      <c r="G8" s="252"/>
      <c r="H8" s="252"/>
      <c r="I8" s="252"/>
      <c r="J8" s="253"/>
      <c r="K8" s="342"/>
      <c r="L8" s="342"/>
      <c r="M8" s="342"/>
      <c r="AE8" s="342"/>
      <c r="AF8" s="342"/>
      <c r="AG8" s="342"/>
      <c r="AH8" s="398"/>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row>
    <row r="9" spans="1:120" ht="66.75" customHeight="1" outlineLevel="1" x14ac:dyDescent="0.25">
      <c r="A9" s="342"/>
      <c r="B9" s="269" t="s">
        <v>561</v>
      </c>
      <c r="C9" s="401"/>
      <c r="D9" s="342"/>
      <c r="E9" s="402" t="s">
        <v>553</v>
      </c>
      <c r="F9" s="403"/>
      <c r="G9" s="403" t="s">
        <v>55</v>
      </c>
      <c r="H9" s="403"/>
      <c r="I9" s="403" t="s">
        <v>56</v>
      </c>
      <c r="J9" s="404"/>
      <c r="K9" s="405"/>
      <c r="M9" s="342"/>
      <c r="N9" s="406" t="s">
        <v>564</v>
      </c>
      <c r="O9" s="407"/>
      <c r="AE9" s="342"/>
      <c r="AF9" s="342"/>
      <c r="AG9" s="342"/>
      <c r="AH9" s="342"/>
      <c r="AI9" s="398"/>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row>
    <row r="10" spans="1:120" ht="16.5" customHeight="1" outlineLevel="1" thickBot="1" x14ac:dyDescent="0.3">
      <c r="A10" s="342"/>
      <c r="B10" s="408">
        <f>C16</f>
        <v>23.720000000000002</v>
      </c>
      <c r="C10" s="409" t="s">
        <v>1</v>
      </c>
      <c r="D10" s="342"/>
      <c r="E10" s="408">
        <f>E16</f>
        <v>23.720000000000002</v>
      </c>
      <c r="F10" s="410" t="s">
        <v>1</v>
      </c>
      <c r="G10" s="411">
        <f>G16</f>
        <v>0.12000000000000001</v>
      </c>
      <c r="H10" s="410" t="s">
        <v>1</v>
      </c>
      <c r="I10" s="411">
        <f>E10-G10</f>
        <v>23.6</v>
      </c>
      <c r="J10" s="409" t="s">
        <v>1</v>
      </c>
      <c r="M10" s="342"/>
      <c r="N10" s="408">
        <f>IF(E10&lt;&gt;0,G10/E10*100,0)</f>
        <v>0.50590219224283306</v>
      </c>
      <c r="O10" s="409" t="s">
        <v>2</v>
      </c>
      <c r="Q10" s="342"/>
      <c r="R10" s="342"/>
      <c r="AE10" s="342"/>
      <c r="AF10" s="342"/>
      <c r="AG10" s="342"/>
      <c r="AH10" s="342"/>
      <c r="AI10" s="398"/>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row>
    <row r="11" spans="1:120" ht="15.75" thickBot="1" x14ac:dyDescent="0.3">
      <c r="A11" s="388"/>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row>
    <row r="12" spans="1:120" ht="30" customHeight="1" thickBot="1" x14ac:dyDescent="0.3">
      <c r="A12" s="388"/>
      <c r="B12" s="394" t="s">
        <v>64</v>
      </c>
      <c r="C12" s="395"/>
      <c r="D12" s="395"/>
      <c r="E12" s="395"/>
      <c r="F12" s="395"/>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7"/>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row>
    <row r="13" spans="1:120"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4"/>
      <c r="X13" s="412"/>
      <c r="Y13" s="413"/>
      <c r="Z13" s="413"/>
      <c r="AA13" s="413"/>
      <c r="AB13" s="413"/>
      <c r="AC13" s="413"/>
      <c r="AD13" s="413"/>
      <c r="AE13" s="413"/>
      <c r="AF13" s="414"/>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row>
    <row r="14" spans="1:120"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419"/>
      <c r="W14" s="420"/>
      <c r="X14" s="418" t="s">
        <v>45</v>
      </c>
      <c r="Y14" s="289"/>
      <c r="Z14" s="289"/>
      <c r="AA14" s="289"/>
      <c r="AB14" s="289"/>
      <c r="AC14" s="289"/>
      <c r="AD14" s="289"/>
      <c r="AE14" s="289"/>
      <c r="AF14" s="419"/>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row>
    <row r="15" spans="1:120" ht="43.5" customHeight="1" outlineLevel="1" x14ac:dyDescent="0.25">
      <c r="A15" s="388"/>
      <c r="B15" s="421" t="s">
        <v>565</v>
      </c>
      <c r="C15" s="422" t="s">
        <v>559</v>
      </c>
      <c r="D15" s="270"/>
      <c r="E15" s="423" t="s">
        <v>590</v>
      </c>
      <c r="F15" s="424"/>
      <c r="G15" s="422" t="s">
        <v>563</v>
      </c>
      <c r="H15" s="270"/>
      <c r="I15" s="423" t="s">
        <v>558</v>
      </c>
      <c r="J15" s="424"/>
      <c r="K15" s="422" t="s">
        <v>564</v>
      </c>
      <c r="L15" s="401"/>
      <c r="M15" s="342"/>
      <c r="N15" s="269" t="s">
        <v>10</v>
      </c>
      <c r="O15" s="270"/>
      <c r="P15" s="422" t="s">
        <v>118</v>
      </c>
      <c r="Q15" s="270"/>
      <c r="R15" s="422" t="s">
        <v>119</v>
      </c>
      <c r="S15" s="270"/>
      <c r="T15" s="425"/>
      <c r="U15" s="403" t="s">
        <v>120</v>
      </c>
      <c r="V15" s="404"/>
      <c r="W15" s="342"/>
      <c r="X15" s="269" t="s">
        <v>45</v>
      </c>
      <c r="Y15" s="270"/>
      <c r="Z15" s="422" t="s">
        <v>142</v>
      </c>
      <c r="AA15" s="270"/>
      <c r="AB15" s="422" t="s">
        <v>143</v>
      </c>
      <c r="AC15" s="270"/>
      <c r="AD15" s="425"/>
      <c r="AE15" s="422" t="s">
        <v>144</v>
      </c>
      <c r="AF15" s="401"/>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row>
    <row r="16" spans="1:120" outlineLevel="1" x14ac:dyDescent="0.25">
      <c r="A16" s="388"/>
      <c r="B16" s="426"/>
      <c r="C16" s="302">
        <f>SUM(C18:C25)</f>
        <v>23.720000000000002</v>
      </c>
      <c r="D16" s="427" t="s">
        <v>1</v>
      </c>
      <c r="E16" s="302">
        <f>SUM(E18:E25)</f>
        <v>23.720000000000002</v>
      </c>
      <c r="F16" s="427" t="s">
        <v>1</v>
      </c>
      <c r="G16" s="302">
        <f>SUM(G18:G25)</f>
        <v>0.12000000000000001</v>
      </c>
      <c r="H16" s="427" t="s">
        <v>1</v>
      </c>
      <c r="I16" s="302">
        <f>SUM(I18:I25)</f>
        <v>0.1198</v>
      </c>
      <c r="J16" s="427" t="s">
        <v>1</v>
      </c>
      <c r="K16" s="302">
        <f>IF(E16&gt;0,G16/E16*100,"")</f>
        <v>0.50590219224283306</v>
      </c>
      <c r="L16" s="428" t="s">
        <v>2</v>
      </c>
      <c r="M16" s="342"/>
      <c r="N16" s="429"/>
      <c r="O16" s="427" t="s">
        <v>0</v>
      </c>
      <c r="P16" s="302">
        <f>SUMPRODUCT(C18:C25,N18:N25)</f>
        <v>47630</v>
      </c>
      <c r="Q16" s="427" t="s">
        <v>6</v>
      </c>
      <c r="R16" s="302">
        <f>IF($E$10&lt;&gt;0,P16/$E$10,0)</f>
        <v>2008.0101180438446</v>
      </c>
      <c r="S16" s="430" t="s">
        <v>72</v>
      </c>
      <c r="T16" s="425"/>
      <c r="U16" s="302">
        <f>SUMPRODUCT(G18:G25,N18:N25)</f>
        <v>2115</v>
      </c>
      <c r="V16" s="428" t="s">
        <v>6</v>
      </c>
      <c r="W16" s="342"/>
      <c r="X16" s="429"/>
      <c r="Y16" s="427" t="s">
        <v>20</v>
      </c>
      <c r="Z16" s="302">
        <f>SUMPRODUCT(C18:C25,X18:X25)</f>
        <v>194.15207999999998</v>
      </c>
      <c r="AA16" s="427" t="s">
        <v>21</v>
      </c>
      <c r="AB16" s="302">
        <f>IF($E$10&lt;&gt;0,Z16/$E$10,0)</f>
        <v>8.1851635750421572</v>
      </c>
      <c r="AC16" s="427" t="s">
        <v>73</v>
      </c>
      <c r="AD16" s="425"/>
      <c r="AE16" s="302">
        <f>SUMPRODUCT(G18:G25,X18:X25)</f>
        <v>2.28294</v>
      </c>
      <c r="AF16" s="428" t="s">
        <v>21</v>
      </c>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row>
    <row r="17" spans="1:120" ht="6.75" customHeight="1" outlineLevel="1" x14ac:dyDescent="0.25">
      <c r="A17" s="388"/>
      <c r="B17" s="431"/>
      <c r="C17" s="420"/>
      <c r="D17" s="420"/>
      <c r="E17" s="420"/>
      <c r="F17" s="420"/>
      <c r="G17" s="420"/>
      <c r="H17" s="420"/>
      <c r="I17" s="420"/>
      <c r="J17" s="420"/>
      <c r="K17" s="420"/>
      <c r="L17" s="432"/>
      <c r="M17" s="420"/>
      <c r="N17" s="431"/>
      <c r="O17" s="420"/>
      <c r="P17" s="420"/>
      <c r="Q17" s="420"/>
      <c r="R17" s="433"/>
      <c r="S17" s="433"/>
      <c r="T17" s="425"/>
      <c r="U17" s="420"/>
      <c r="V17" s="432"/>
      <c r="W17" s="388"/>
      <c r="X17" s="431"/>
      <c r="Y17" s="420"/>
      <c r="Z17" s="434"/>
      <c r="AA17" s="434"/>
      <c r="AB17" s="420"/>
      <c r="AC17" s="420"/>
      <c r="AD17" s="420"/>
      <c r="AE17" s="420"/>
      <c r="AF17" s="43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row>
    <row r="18" spans="1:120" outlineLevel="1" x14ac:dyDescent="0.25">
      <c r="A18" s="388"/>
      <c r="B18" s="435" t="s">
        <v>791</v>
      </c>
      <c r="C18" s="436">
        <v>23</v>
      </c>
      <c r="D18" s="427" t="s">
        <v>1</v>
      </c>
      <c r="E18" s="436">
        <v>23</v>
      </c>
      <c r="F18" s="427" t="s">
        <v>1</v>
      </c>
      <c r="G18" s="436">
        <v>0.01</v>
      </c>
      <c r="H18" s="427" t="s">
        <v>1</v>
      </c>
      <c r="I18" s="436">
        <v>9.7999999999999997E-3</v>
      </c>
      <c r="J18" s="427" t="s">
        <v>1</v>
      </c>
      <c r="K18" s="302">
        <f>IF(E18&gt;0,G18/E18*100,"")</f>
        <v>4.3478260869565216E-2</v>
      </c>
      <c r="L18" s="428" t="s">
        <v>2</v>
      </c>
      <c r="M18" s="420"/>
      <c r="N18" s="437">
        <f>IF(B18&lt;&gt;0,VLOOKUP(B18,GENERALITES!$B$21:$D$31,3,FALSE),"")</f>
        <v>1000</v>
      </c>
      <c r="O18" s="427" t="s">
        <v>0</v>
      </c>
      <c r="P18" s="438"/>
      <c r="Q18" s="438"/>
      <c r="R18" s="425"/>
      <c r="S18" s="425"/>
      <c r="T18" s="425"/>
      <c r="U18" s="438"/>
      <c r="V18" s="439"/>
      <c r="W18" s="388"/>
      <c r="X18" s="437">
        <f>IF(B18&lt;&gt;0,VLOOKUP(B18,GENERALITES!$B$21:$N$31,12,FALSE),"")</f>
        <v>7.8599999999999994</v>
      </c>
      <c r="Y18" s="427" t="s">
        <v>20</v>
      </c>
      <c r="Z18" s="434"/>
      <c r="AA18" s="434"/>
      <c r="AB18" s="425"/>
      <c r="AC18" s="425"/>
      <c r="AD18" s="425"/>
      <c r="AE18" s="438"/>
      <c r="AF18" s="439"/>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row>
    <row r="19" spans="1:120" outlineLevel="1" x14ac:dyDescent="0.25">
      <c r="A19" s="388"/>
      <c r="B19" s="435" t="s">
        <v>792</v>
      </c>
      <c r="C19" s="436">
        <v>0.12</v>
      </c>
      <c r="D19" s="427" t="s">
        <v>1</v>
      </c>
      <c r="E19" s="436">
        <v>0.12</v>
      </c>
      <c r="F19" s="427" t="s">
        <v>1</v>
      </c>
      <c r="G19" s="436">
        <v>0.01</v>
      </c>
      <c r="H19" s="427" t="s">
        <v>1</v>
      </c>
      <c r="I19" s="436">
        <v>0.01</v>
      </c>
      <c r="J19" s="427" t="s">
        <v>1</v>
      </c>
      <c r="K19" s="302">
        <f t="shared" ref="K19:K25" si="0">IF(E19&gt;0,G19/E19*100,"")</f>
        <v>8.3333333333333339</v>
      </c>
      <c r="L19" s="428" t="s">
        <v>2</v>
      </c>
      <c r="M19" s="420"/>
      <c r="N19" s="437">
        <f>IF(B19&lt;&gt;0,VLOOKUP(B19,GENERALITES!$B$21:$D$31,3,FALSE),"")</f>
        <v>200000</v>
      </c>
      <c r="O19" s="427" t="s">
        <v>0</v>
      </c>
      <c r="P19" s="438"/>
      <c r="Q19" s="438"/>
      <c r="R19" s="425"/>
      <c r="S19" s="425"/>
      <c r="T19" s="425"/>
      <c r="U19" s="438"/>
      <c r="V19" s="439"/>
      <c r="W19" s="388"/>
      <c r="X19" s="437">
        <f>IF(B19&lt;&gt;0,VLOOKUP(B19,GENERALITES!$B$21:$N$31,12,FALSE),"")</f>
        <v>2.4339999999999997</v>
      </c>
      <c r="Y19" s="427" t="s">
        <v>20</v>
      </c>
      <c r="Z19" s="434"/>
      <c r="AA19" s="434"/>
      <c r="AB19" s="425"/>
      <c r="AC19" s="425"/>
      <c r="AD19" s="425"/>
      <c r="AE19" s="438"/>
      <c r="AF19" s="439"/>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row>
    <row r="20" spans="1:120" outlineLevel="1" x14ac:dyDescent="0.25">
      <c r="A20" s="440"/>
      <c r="B20" s="435" t="s">
        <v>793</v>
      </c>
      <c r="C20" s="436">
        <v>0.6</v>
      </c>
      <c r="D20" s="427" t="s">
        <v>1</v>
      </c>
      <c r="E20" s="436">
        <v>0.6</v>
      </c>
      <c r="F20" s="427" t="s">
        <v>1</v>
      </c>
      <c r="G20" s="436">
        <v>0.1</v>
      </c>
      <c r="H20" s="427" t="s">
        <v>1</v>
      </c>
      <c r="I20" s="436">
        <v>0.1</v>
      </c>
      <c r="J20" s="427" t="s">
        <v>1</v>
      </c>
      <c r="K20" s="302">
        <f t="shared" si="0"/>
        <v>16.666666666666668</v>
      </c>
      <c r="L20" s="428" t="s">
        <v>2</v>
      </c>
      <c r="M20" s="420"/>
      <c r="N20" s="437">
        <f>IF(B20&lt;&gt;0,VLOOKUP(B20,GENERALITES!$B$21:$D$31,3,FALSE),"")</f>
        <v>1050</v>
      </c>
      <c r="O20" s="427" t="s">
        <v>0</v>
      </c>
      <c r="P20" s="438"/>
      <c r="Q20" s="438"/>
      <c r="R20" s="425"/>
      <c r="S20" s="425"/>
      <c r="T20" s="425"/>
      <c r="U20" s="438"/>
      <c r="V20" s="439"/>
      <c r="W20" s="388"/>
      <c r="X20" s="437">
        <f>IF(B20&lt;&gt;0,VLOOKUP(B20,GENERALITES!$B$21:$N$31,12,FALSE),"")</f>
        <v>21.8</v>
      </c>
      <c r="Y20" s="427" t="s">
        <v>20</v>
      </c>
      <c r="Z20" s="434"/>
      <c r="AA20" s="434"/>
      <c r="AB20" s="425"/>
      <c r="AC20" s="425"/>
      <c r="AD20" s="425"/>
      <c r="AE20" s="438"/>
      <c r="AF20" s="439"/>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row>
    <row r="21" spans="1:120" outlineLevel="1" x14ac:dyDescent="0.25">
      <c r="A21" s="440"/>
      <c r="B21" s="435"/>
      <c r="C21" s="436"/>
      <c r="D21" s="427" t="s">
        <v>1</v>
      </c>
      <c r="E21" s="436"/>
      <c r="F21" s="427" t="s">
        <v>1</v>
      </c>
      <c r="G21" s="436"/>
      <c r="H21" s="427" t="s">
        <v>1</v>
      </c>
      <c r="I21" s="436"/>
      <c r="J21" s="427" t="s">
        <v>1</v>
      </c>
      <c r="K21" s="302" t="str">
        <f t="shared" si="0"/>
        <v/>
      </c>
      <c r="L21" s="428" t="s">
        <v>2</v>
      </c>
      <c r="M21" s="420"/>
      <c r="N21" s="437" t="str">
        <f>IF(B21&lt;&gt;0,VLOOKUP(B21,GENERALITES!$B$21:$D$31,3,FALSE),"")</f>
        <v/>
      </c>
      <c r="O21" s="427" t="s">
        <v>0</v>
      </c>
      <c r="P21" s="438"/>
      <c r="Q21" s="438"/>
      <c r="R21" s="425"/>
      <c r="S21" s="425"/>
      <c r="T21" s="425"/>
      <c r="U21" s="438"/>
      <c r="V21" s="439"/>
      <c r="W21" s="388"/>
      <c r="X21" s="437" t="str">
        <f>IF(B21&lt;&gt;0,VLOOKUP(B21,GENERALITES!$B$21:$N$31,12,FALSE),"")</f>
        <v/>
      </c>
      <c r="Y21" s="427" t="s">
        <v>20</v>
      </c>
      <c r="Z21" s="434"/>
      <c r="AA21" s="434"/>
      <c r="AB21" s="425"/>
      <c r="AC21" s="425"/>
      <c r="AD21" s="425"/>
      <c r="AE21" s="438"/>
      <c r="AF21" s="439"/>
      <c r="AG21" s="342"/>
      <c r="AH21" s="342"/>
      <c r="AI21" s="342"/>
      <c r="AJ21" s="342"/>
      <c r="AK21" s="342" t="s">
        <v>40</v>
      </c>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row>
    <row r="22" spans="1:120" outlineLevel="1" x14ac:dyDescent="0.25">
      <c r="A22" s="440"/>
      <c r="B22" s="435"/>
      <c r="C22" s="436"/>
      <c r="D22" s="427" t="s">
        <v>1</v>
      </c>
      <c r="E22" s="436"/>
      <c r="F22" s="427" t="s">
        <v>1</v>
      </c>
      <c r="G22" s="436"/>
      <c r="H22" s="427" t="s">
        <v>1</v>
      </c>
      <c r="I22" s="436"/>
      <c r="J22" s="427" t="s">
        <v>1</v>
      </c>
      <c r="K22" s="302" t="str">
        <f t="shared" si="0"/>
        <v/>
      </c>
      <c r="L22" s="428" t="s">
        <v>2</v>
      </c>
      <c r="M22" s="420"/>
      <c r="N22" s="437" t="str">
        <f>IF(B22&lt;&gt;0,VLOOKUP(B22,GENERALITES!$B$21:$D$31,3,FALSE),"")</f>
        <v/>
      </c>
      <c r="O22" s="427" t="s">
        <v>0</v>
      </c>
      <c r="P22" s="438"/>
      <c r="Q22" s="438"/>
      <c r="R22" s="425"/>
      <c r="S22" s="425"/>
      <c r="T22" s="425"/>
      <c r="U22" s="438"/>
      <c r="V22" s="439"/>
      <c r="W22" s="388"/>
      <c r="X22" s="437" t="str">
        <f>IF(B22&lt;&gt;0,VLOOKUP(B22,GENERALITES!$B$21:$N$31,12,FALSE),"")</f>
        <v/>
      </c>
      <c r="Y22" s="427" t="s">
        <v>20</v>
      </c>
      <c r="Z22" s="434"/>
      <c r="AA22" s="434"/>
      <c r="AB22" s="425"/>
      <c r="AC22" s="425"/>
      <c r="AD22" s="425"/>
      <c r="AE22" s="438"/>
      <c r="AF22" s="439"/>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row>
    <row r="23" spans="1:120" outlineLevel="1" x14ac:dyDescent="0.25">
      <c r="A23" s="440"/>
      <c r="B23" s="435"/>
      <c r="C23" s="436"/>
      <c r="D23" s="427" t="s">
        <v>1</v>
      </c>
      <c r="E23" s="436"/>
      <c r="F23" s="427" t="s">
        <v>1</v>
      </c>
      <c r="G23" s="436"/>
      <c r="H23" s="427" t="s">
        <v>1</v>
      </c>
      <c r="I23" s="436"/>
      <c r="J23" s="427" t="s">
        <v>1</v>
      </c>
      <c r="K23" s="302" t="str">
        <f t="shared" si="0"/>
        <v/>
      </c>
      <c r="L23" s="428" t="s">
        <v>2</v>
      </c>
      <c r="M23" s="420"/>
      <c r="N23" s="437" t="str">
        <f>IF(B23&lt;&gt;0,VLOOKUP(B23,GENERALITES!$B$21:$D$31,3,FALSE),"")</f>
        <v/>
      </c>
      <c r="O23" s="427" t="s">
        <v>0</v>
      </c>
      <c r="P23" s="438"/>
      <c r="Q23" s="438"/>
      <c r="R23" s="425"/>
      <c r="S23" s="425"/>
      <c r="T23" s="425"/>
      <c r="U23" s="438"/>
      <c r="V23" s="439"/>
      <c r="W23" s="388"/>
      <c r="X23" s="437" t="str">
        <f>IF(B23&lt;&gt;0,VLOOKUP(B23,GENERALITES!$B$21:$N$31,12,FALSE),"")</f>
        <v/>
      </c>
      <c r="Y23" s="427" t="s">
        <v>20</v>
      </c>
      <c r="Z23" s="434"/>
      <c r="AA23" s="434"/>
      <c r="AB23" s="425"/>
      <c r="AC23" s="425"/>
      <c r="AD23" s="425"/>
      <c r="AE23" s="438"/>
      <c r="AF23" s="439"/>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row>
    <row r="24" spans="1:120" outlineLevel="1" x14ac:dyDescent="0.25">
      <c r="A24" s="440"/>
      <c r="B24" s="435"/>
      <c r="C24" s="436"/>
      <c r="D24" s="427" t="s">
        <v>1</v>
      </c>
      <c r="E24" s="436"/>
      <c r="F24" s="427" t="s">
        <v>1</v>
      </c>
      <c r="G24" s="436"/>
      <c r="H24" s="427" t="s">
        <v>1</v>
      </c>
      <c r="I24" s="436"/>
      <c r="J24" s="427" t="s">
        <v>1</v>
      </c>
      <c r="K24" s="302" t="str">
        <f t="shared" si="0"/>
        <v/>
      </c>
      <c r="L24" s="428" t="s">
        <v>2</v>
      </c>
      <c r="M24" s="420"/>
      <c r="N24" s="437" t="str">
        <f>IF(B24&lt;&gt;0,VLOOKUP(B24,GENERALITES!$B$21:$D$31,3,FALSE),"")</f>
        <v/>
      </c>
      <c r="O24" s="427" t="s">
        <v>0</v>
      </c>
      <c r="P24" s="438"/>
      <c r="Q24" s="438"/>
      <c r="R24" s="425"/>
      <c r="S24" s="425"/>
      <c r="T24" s="425"/>
      <c r="U24" s="438"/>
      <c r="V24" s="439"/>
      <c r="W24" s="388"/>
      <c r="X24" s="437" t="str">
        <f>IF(B24&lt;&gt;0,VLOOKUP(B24,GENERALITES!$B$21:$N$31,12,FALSE),"")</f>
        <v/>
      </c>
      <c r="Y24" s="427" t="s">
        <v>20</v>
      </c>
      <c r="Z24" s="434"/>
      <c r="AA24" s="434"/>
      <c r="AB24" s="425"/>
      <c r="AC24" s="425"/>
      <c r="AD24" s="425"/>
      <c r="AE24" s="438"/>
      <c r="AF24" s="439"/>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row>
    <row r="25" spans="1:120" outlineLevel="1" x14ac:dyDescent="0.25">
      <c r="A25" s="440"/>
      <c r="B25" s="435"/>
      <c r="C25" s="436"/>
      <c r="D25" s="427" t="s">
        <v>1</v>
      </c>
      <c r="E25" s="436"/>
      <c r="F25" s="427" t="s">
        <v>1</v>
      </c>
      <c r="G25" s="436"/>
      <c r="H25" s="427" t="s">
        <v>1</v>
      </c>
      <c r="I25" s="436"/>
      <c r="J25" s="427" t="s">
        <v>1</v>
      </c>
      <c r="K25" s="302" t="str">
        <f t="shared" si="0"/>
        <v/>
      </c>
      <c r="L25" s="428" t="s">
        <v>2</v>
      </c>
      <c r="M25" s="420"/>
      <c r="N25" s="437" t="str">
        <f>IF(B25&lt;&gt;0,VLOOKUP(B25,GENERALITES!$B$21:$D$31,3,FALSE),"")</f>
        <v/>
      </c>
      <c r="O25" s="427" t="s">
        <v>0</v>
      </c>
      <c r="P25" s="438"/>
      <c r="Q25" s="438"/>
      <c r="R25" s="425"/>
      <c r="S25" s="425"/>
      <c r="T25" s="425"/>
      <c r="U25" s="438"/>
      <c r="V25" s="439"/>
      <c r="W25" s="388"/>
      <c r="X25" s="437" t="str">
        <f>IF(B25&lt;&gt;0,VLOOKUP(B25,GENERALITES!$B$21:$N$31,12,FALSE),"")</f>
        <v/>
      </c>
      <c r="Y25" s="427" t="s">
        <v>20</v>
      </c>
      <c r="Z25" s="434"/>
      <c r="AA25" s="434"/>
      <c r="AB25" s="425"/>
      <c r="AC25" s="425"/>
      <c r="AD25" s="425"/>
      <c r="AE25" s="420"/>
      <c r="AF25" s="432"/>
      <c r="AG25" s="388"/>
      <c r="AH25" s="342"/>
      <c r="AI25" s="342"/>
      <c r="AJ25" s="342"/>
      <c r="AK25" s="342"/>
      <c r="AL25" s="342"/>
      <c r="AM25" s="342"/>
      <c r="AN25" s="342"/>
      <c r="AO25" s="342"/>
      <c r="AP25" s="342"/>
      <c r="AQ25" s="342"/>
      <c r="AR25" s="342"/>
      <c r="AS25" s="342"/>
      <c r="AT25" s="342"/>
      <c r="AU25" s="342"/>
      <c r="AV25" s="342"/>
      <c r="AW25" s="388"/>
      <c r="AX25" s="388"/>
      <c r="AY25" s="388"/>
      <c r="AZ25" s="388"/>
      <c r="BA25" s="388"/>
      <c r="BB25" s="388"/>
      <c r="BC25" s="388"/>
      <c r="BD25" s="388"/>
      <c r="BE25" s="388"/>
      <c r="BF25" s="388"/>
      <c r="BG25" s="388"/>
      <c r="BH25" s="388"/>
      <c r="BI25" s="388"/>
      <c r="BJ25" s="388"/>
      <c r="BK25" s="388"/>
      <c r="BL25" s="388"/>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row>
    <row r="26" spans="1:120" ht="15.75" thickBot="1" x14ac:dyDescent="0.3">
      <c r="A26" s="440"/>
      <c r="B26" s="441"/>
      <c r="C26" s="442"/>
      <c r="D26" s="442"/>
      <c r="E26" s="442"/>
      <c r="F26" s="442"/>
      <c r="G26" s="442"/>
      <c r="H26" s="442"/>
      <c r="I26" s="442"/>
      <c r="J26" s="442"/>
      <c r="K26" s="442"/>
      <c r="L26" s="443"/>
      <c r="M26" s="440"/>
      <c r="N26" s="441"/>
      <c r="O26" s="442"/>
      <c r="P26" s="442"/>
      <c r="Q26" s="442"/>
      <c r="R26" s="442"/>
      <c r="S26" s="442"/>
      <c r="T26" s="442"/>
      <c r="U26" s="442"/>
      <c r="V26" s="443"/>
      <c r="W26" s="440"/>
      <c r="X26" s="444"/>
      <c r="Y26" s="445"/>
      <c r="Z26" s="445"/>
      <c r="AA26" s="445"/>
      <c r="AB26" s="445"/>
      <c r="AC26" s="445"/>
      <c r="AD26" s="445"/>
      <c r="AE26" s="445"/>
      <c r="AF26" s="446"/>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row>
    <row r="27" spans="1:120" ht="30" customHeight="1" thickBot="1" x14ac:dyDescent="0.3">
      <c r="A27" s="388"/>
      <c r="B27" s="394" t="s">
        <v>63</v>
      </c>
      <c r="C27" s="395"/>
      <c r="D27" s="395"/>
      <c r="E27" s="395"/>
      <c r="F27" s="395"/>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7"/>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row>
    <row r="28" spans="1:120" outlineLevel="1" x14ac:dyDescent="0.25">
      <c r="B28" s="412"/>
      <c r="C28" s="413"/>
      <c r="D28" s="413"/>
      <c r="E28" s="413"/>
      <c r="F28" s="413"/>
      <c r="G28" s="413"/>
      <c r="H28" s="413"/>
      <c r="I28" s="413"/>
      <c r="J28" s="413"/>
      <c r="K28" s="413"/>
      <c r="L28" s="414"/>
      <c r="N28" s="412"/>
      <c r="O28" s="413"/>
      <c r="P28" s="413"/>
      <c r="Q28" s="413"/>
      <c r="R28" s="413"/>
      <c r="S28" s="413"/>
      <c r="T28" s="413"/>
      <c r="U28" s="413"/>
      <c r="V28" s="414"/>
      <c r="X28" s="412"/>
      <c r="Y28" s="413"/>
      <c r="Z28" s="413"/>
      <c r="AA28" s="413"/>
      <c r="AB28" s="413"/>
      <c r="AC28" s="413"/>
      <c r="AD28" s="413"/>
      <c r="AE28" s="413"/>
      <c r="AF28" s="414"/>
      <c r="AG28" s="388"/>
      <c r="AH28" s="388"/>
      <c r="AI28" s="388"/>
      <c r="AJ28" s="388"/>
      <c r="AK28" s="388"/>
      <c r="AL28" s="388"/>
      <c r="AM28" s="388"/>
      <c r="AN28" s="342"/>
      <c r="AO28" s="342"/>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row>
    <row r="29" spans="1:120"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419"/>
      <c r="W29" s="420"/>
      <c r="X29" s="418" t="s">
        <v>54</v>
      </c>
      <c r="Y29" s="289"/>
      <c r="Z29" s="289"/>
      <c r="AA29" s="289"/>
      <c r="AB29" s="289"/>
      <c r="AC29" s="289"/>
      <c r="AD29" s="289"/>
      <c r="AE29" s="289"/>
      <c r="AF29" s="419"/>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row>
    <row r="30" spans="1:120" ht="43.5" customHeight="1" outlineLevel="1" x14ac:dyDescent="0.25">
      <c r="A30" s="388"/>
      <c r="B30" s="421" t="s">
        <v>121</v>
      </c>
      <c r="C30" s="425"/>
      <c r="D30" s="425"/>
      <c r="E30" s="425"/>
      <c r="F30" s="425"/>
      <c r="G30" s="422" t="s">
        <v>122</v>
      </c>
      <c r="H30" s="270"/>
      <c r="I30" s="447" t="s">
        <v>123</v>
      </c>
      <c r="J30" s="447"/>
      <c r="K30" s="447"/>
      <c r="L30" s="401"/>
      <c r="M30" s="342"/>
      <c r="N30" s="269" t="s">
        <v>77</v>
      </c>
      <c r="O30" s="270"/>
      <c r="P30" s="422" t="s">
        <v>74</v>
      </c>
      <c r="Q30" s="270"/>
      <c r="R30" s="422" t="s">
        <v>134</v>
      </c>
      <c r="S30" s="270"/>
      <c r="T30" s="425"/>
      <c r="U30" s="403" t="s">
        <v>135</v>
      </c>
      <c r="V30" s="404"/>
      <c r="W30" s="420"/>
      <c r="X30" s="269" t="s">
        <v>54</v>
      </c>
      <c r="Y30" s="270"/>
      <c r="Z30" s="422" t="s">
        <v>145</v>
      </c>
      <c r="AA30" s="270"/>
      <c r="AB30" s="422" t="s">
        <v>146</v>
      </c>
      <c r="AC30" s="270"/>
      <c r="AD30" s="425"/>
      <c r="AE30" s="422" t="s">
        <v>147</v>
      </c>
      <c r="AF30" s="401"/>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row>
    <row r="31" spans="1:120" outlineLevel="1" x14ac:dyDescent="0.25">
      <c r="B31" s="426"/>
      <c r="C31" s="425"/>
      <c r="D31" s="425"/>
      <c r="E31" s="425"/>
      <c r="F31" s="425"/>
      <c r="G31" s="302">
        <f>SUM(G33:G38)</f>
        <v>0.47000000000000003</v>
      </c>
      <c r="H31" s="427" t="s">
        <v>1</v>
      </c>
      <c r="I31" s="448">
        <f>$N$10</f>
        <v>0.50590219224283306</v>
      </c>
      <c r="J31" s="449" t="s">
        <v>2</v>
      </c>
      <c r="K31" s="302">
        <f>SUM(K33:K38)</f>
        <v>0.01</v>
      </c>
      <c r="L31" s="428" t="s">
        <v>1</v>
      </c>
      <c r="M31" s="342"/>
      <c r="N31" s="450"/>
      <c r="O31" s="427" t="s">
        <v>0</v>
      </c>
      <c r="P31" s="302">
        <f>SUMPRODUCT('ETAPE 1'!G33:G38,'ETAPE 1'!N33:N38)</f>
        <v>1749.1</v>
      </c>
      <c r="Q31" s="427" t="s">
        <v>6</v>
      </c>
      <c r="R31" s="302">
        <f>IF($E$10&lt;&gt;0,P31/$E$10,0)</f>
        <v>73.739460370994934</v>
      </c>
      <c r="S31" s="427" t="s">
        <v>72</v>
      </c>
      <c r="T31" s="425"/>
      <c r="U31" s="302">
        <f>SUMPRODUCT(K33:K38,N33:N38)</f>
        <v>1.1000000000000001</v>
      </c>
      <c r="V31" s="428" t="s">
        <v>6</v>
      </c>
      <c r="W31" s="388"/>
      <c r="X31" s="450"/>
      <c r="Y31" s="427" t="s">
        <v>20</v>
      </c>
      <c r="Z31" s="302">
        <f>SUMPRODUCT(G33:G38,X33:X38)</f>
        <v>1.4033800000000001</v>
      </c>
      <c r="AA31" s="427" t="s">
        <v>21</v>
      </c>
      <c r="AB31" s="302">
        <f>IF($E$10&lt;&gt;0,Z31/$E$10,0)</f>
        <v>5.916441821247892E-2</v>
      </c>
      <c r="AC31" s="427" t="s">
        <v>73</v>
      </c>
      <c r="AD31" s="425"/>
      <c r="AE31" s="302">
        <f>SUMPRODUCT(K33:K38,X33:X38)</f>
        <v>1.2800000000000001E-2</v>
      </c>
      <c r="AF31" s="428" t="s">
        <v>21</v>
      </c>
      <c r="AG31" s="388"/>
      <c r="AH31" s="342"/>
      <c r="AI31" s="342"/>
      <c r="AJ31" s="342"/>
      <c r="AK31" s="342"/>
      <c r="AL31" s="342"/>
      <c r="AM31" s="342"/>
      <c r="AN31" s="342"/>
      <c r="AO31" s="342"/>
      <c r="AP31" s="342"/>
      <c r="AQ31" s="342"/>
      <c r="AR31" s="342"/>
      <c r="AS31" s="342"/>
      <c r="AT31" s="342"/>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row>
    <row r="32" spans="1:120" ht="6.75" customHeight="1" outlineLevel="1" x14ac:dyDescent="0.25">
      <c r="A32" s="388"/>
      <c r="B32" s="431"/>
      <c r="C32" s="420"/>
      <c r="D32" s="420"/>
      <c r="E32" s="420"/>
      <c r="F32" s="420"/>
      <c r="G32" s="420"/>
      <c r="H32" s="420"/>
      <c r="I32" s="434"/>
      <c r="J32" s="434"/>
      <c r="K32" s="434"/>
      <c r="L32" s="451"/>
      <c r="M32" s="342"/>
      <c r="N32" s="431"/>
      <c r="O32" s="420"/>
      <c r="P32" s="420"/>
      <c r="Q32" s="420"/>
      <c r="R32" s="433"/>
      <c r="S32" s="433"/>
      <c r="T32" s="433"/>
      <c r="U32" s="420"/>
      <c r="V32" s="432"/>
      <c r="W32" s="388"/>
      <c r="X32" s="431"/>
      <c r="Y32" s="420"/>
      <c r="Z32" s="420"/>
      <c r="AA32" s="420"/>
      <c r="AB32" s="420"/>
      <c r="AC32" s="420"/>
      <c r="AD32" s="420"/>
      <c r="AE32" s="420"/>
      <c r="AF32" s="43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row>
    <row r="33" spans="1:120" outlineLevel="1" x14ac:dyDescent="0.25">
      <c r="B33" s="435" t="s">
        <v>794</v>
      </c>
      <c r="C33" s="425"/>
      <c r="D33" s="425"/>
      <c r="E33" s="425"/>
      <c r="F33" s="425"/>
      <c r="G33" s="436">
        <v>0.46</v>
      </c>
      <c r="H33" s="427" t="s">
        <v>1</v>
      </c>
      <c r="I33" s="452">
        <v>0</v>
      </c>
      <c r="J33" s="449" t="s">
        <v>2</v>
      </c>
      <c r="K33" s="302">
        <f>G33*I33/100</f>
        <v>0</v>
      </c>
      <c r="L33" s="428" t="s">
        <v>1</v>
      </c>
      <c r="M33" s="342"/>
      <c r="N33" s="437">
        <f>IF(B33&lt;&gt;0,VLOOKUP(B33,GENERALITES!$B$36:$D$41,3,FALSE),"")</f>
        <v>3800</v>
      </c>
      <c r="O33" s="427" t="s">
        <v>0</v>
      </c>
      <c r="P33" s="438"/>
      <c r="Q33" s="438"/>
      <c r="R33" s="425"/>
      <c r="S33" s="425"/>
      <c r="T33" s="425"/>
      <c r="U33" s="438"/>
      <c r="V33" s="439"/>
      <c r="W33" s="388"/>
      <c r="X33" s="437">
        <f>IF(B33&lt;&gt;0,VLOOKUP(B33,GENERALITES!$B$36:$N$41,12,FALSE),"")</f>
        <v>3.0230000000000001</v>
      </c>
      <c r="Y33" s="427" t="s">
        <v>20</v>
      </c>
      <c r="Z33" s="438"/>
      <c r="AA33" s="438"/>
      <c r="AB33" s="425"/>
      <c r="AC33" s="425"/>
      <c r="AD33" s="425"/>
      <c r="AE33" s="438"/>
      <c r="AF33" s="439"/>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row>
    <row r="34" spans="1:120" outlineLevel="1" x14ac:dyDescent="0.25">
      <c r="B34" s="435" t="s">
        <v>795</v>
      </c>
      <c r="C34" s="425"/>
      <c r="D34" s="425"/>
      <c r="E34" s="425"/>
      <c r="F34" s="425"/>
      <c r="G34" s="436">
        <v>0.01</v>
      </c>
      <c r="H34" s="427" t="s">
        <v>1</v>
      </c>
      <c r="I34" s="452">
        <v>100</v>
      </c>
      <c r="J34" s="449" t="s">
        <v>2</v>
      </c>
      <c r="K34" s="302">
        <f t="shared" ref="K34:K38" si="1">G34*I34/100</f>
        <v>0.01</v>
      </c>
      <c r="L34" s="428" t="s">
        <v>1</v>
      </c>
      <c r="M34" s="342"/>
      <c r="N34" s="437">
        <f>IF(B34&lt;&gt;0,VLOOKUP(B34,GENERALITES!$B$36:$D$41,3,FALSE),"")</f>
        <v>110</v>
      </c>
      <c r="O34" s="427" t="s">
        <v>0</v>
      </c>
      <c r="P34" s="438"/>
      <c r="Q34" s="438"/>
      <c r="R34" s="425"/>
      <c r="S34" s="425"/>
      <c r="T34" s="425"/>
      <c r="U34" s="438"/>
      <c r="V34" s="439"/>
      <c r="W34" s="388"/>
      <c r="X34" s="437">
        <f>IF(B34&lt;&gt;0,VLOOKUP(B34,GENERALITES!$B$36:$N$41,12,FALSE),"")</f>
        <v>1.28</v>
      </c>
      <c r="Y34" s="427" t="s">
        <v>20</v>
      </c>
      <c r="Z34" s="438"/>
      <c r="AA34" s="438"/>
      <c r="AB34" s="425"/>
      <c r="AC34" s="425"/>
      <c r="AD34" s="425"/>
      <c r="AE34" s="438"/>
      <c r="AF34" s="439"/>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row>
    <row r="35" spans="1:120" outlineLevel="1" x14ac:dyDescent="0.25">
      <c r="B35" s="435"/>
      <c r="C35" s="425"/>
      <c r="D35" s="425"/>
      <c r="E35" s="425"/>
      <c r="F35" s="425"/>
      <c r="G35" s="436"/>
      <c r="H35" s="427" t="s">
        <v>1</v>
      </c>
      <c r="I35" s="452"/>
      <c r="J35" s="449" t="s">
        <v>2</v>
      </c>
      <c r="K35" s="302">
        <f t="shared" si="1"/>
        <v>0</v>
      </c>
      <c r="L35" s="428" t="s">
        <v>1</v>
      </c>
      <c r="M35" s="342"/>
      <c r="N35" s="437" t="str">
        <f>IF(B35&lt;&gt;0,VLOOKUP(B35,GENERALITES!$B$36:$D$41,3,FALSE),"")</f>
        <v/>
      </c>
      <c r="O35" s="427" t="s">
        <v>0</v>
      </c>
      <c r="P35" s="438"/>
      <c r="Q35" s="438"/>
      <c r="R35" s="425"/>
      <c r="S35" s="425"/>
      <c r="T35" s="425"/>
      <c r="U35" s="438"/>
      <c r="V35" s="439"/>
      <c r="W35" s="388"/>
      <c r="X35" s="437" t="str">
        <f>IF(B35&lt;&gt;0,VLOOKUP(B35,GENERALITES!$B$36:$N$41,12,FALSE),"")</f>
        <v/>
      </c>
      <c r="Y35" s="427" t="s">
        <v>20</v>
      </c>
      <c r="Z35" s="438"/>
      <c r="AA35" s="438"/>
      <c r="AB35" s="425"/>
      <c r="AC35" s="425"/>
      <c r="AD35" s="425"/>
      <c r="AE35" s="438"/>
      <c r="AF35" s="439"/>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row>
    <row r="36" spans="1:120"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25"/>
      <c r="S36" s="425"/>
      <c r="T36" s="425"/>
      <c r="U36" s="438"/>
      <c r="V36" s="439"/>
      <c r="W36" s="388"/>
      <c r="X36" s="437" t="str">
        <f>IF(B36&lt;&gt;0,VLOOKUP(B36,GENERALITES!$B$36:$N$41,12,FALSE),"")</f>
        <v/>
      </c>
      <c r="Y36" s="427" t="s">
        <v>20</v>
      </c>
      <c r="Z36" s="438"/>
      <c r="AA36" s="438"/>
      <c r="AB36" s="425"/>
      <c r="AC36" s="425"/>
      <c r="AD36" s="425"/>
      <c r="AE36" s="438"/>
      <c r="AF36" s="439"/>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row>
    <row r="37" spans="1:120"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25"/>
      <c r="S37" s="425"/>
      <c r="T37" s="425"/>
      <c r="U37" s="438"/>
      <c r="V37" s="439"/>
      <c r="W37" s="388"/>
      <c r="X37" s="437" t="str">
        <f>IF(B37&lt;&gt;0,VLOOKUP(B37,GENERALITES!$B$36:$N$41,12,FALSE),"")</f>
        <v/>
      </c>
      <c r="Y37" s="427" t="s">
        <v>20</v>
      </c>
      <c r="Z37" s="438"/>
      <c r="AA37" s="438"/>
      <c r="AB37" s="425"/>
      <c r="AC37" s="425" t="s">
        <v>40</v>
      </c>
      <c r="AD37" s="425"/>
      <c r="AE37" s="438"/>
      <c r="AF37" s="439"/>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row>
    <row r="38" spans="1:120"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25"/>
      <c r="S38" s="425"/>
      <c r="T38" s="425"/>
      <c r="U38" s="438"/>
      <c r="V38" s="439"/>
      <c r="W38" s="388"/>
      <c r="X38" s="437" t="str">
        <f>IF(B38&lt;&gt;0,VLOOKUP(B38,GENERALITES!$B$36:$N$41,12,FALSE),"")</f>
        <v/>
      </c>
      <c r="Y38" s="427" t="s">
        <v>20</v>
      </c>
      <c r="Z38" s="420"/>
      <c r="AA38" s="420"/>
      <c r="AB38" s="425"/>
      <c r="AC38" s="425"/>
      <c r="AD38" s="425"/>
      <c r="AE38" s="420"/>
      <c r="AF38" s="432"/>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row>
    <row r="39" spans="1:120" ht="15.75" thickBot="1" x14ac:dyDescent="0.3">
      <c r="A39" s="440"/>
      <c r="B39" s="441"/>
      <c r="C39" s="442"/>
      <c r="D39" s="442"/>
      <c r="E39" s="442"/>
      <c r="F39" s="442"/>
      <c r="G39" s="442"/>
      <c r="H39" s="442"/>
      <c r="I39" s="442"/>
      <c r="J39" s="442"/>
      <c r="K39" s="442"/>
      <c r="L39" s="443"/>
      <c r="M39" s="440"/>
      <c r="N39" s="441"/>
      <c r="O39" s="442"/>
      <c r="P39" s="442"/>
      <c r="Q39" s="442"/>
      <c r="R39" s="442"/>
      <c r="S39" s="442"/>
      <c r="T39" s="442"/>
      <c r="U39" s="442"/>
      <c r="V39" s="443"/>
      <c r="W39" s="440"/>
      <c r="X39" s="444"/>
      <c r="Y39" s="445"/>
      <c r="Z39" s="445"/>
      <c r="AA39" s="445"/>
      <c r="AB39" s="445"/>
      <c r="AC39" s="445"/>
      <c r="AD39" s="445"/>
      <c r="AE39" s="445"/>
      <c r="AF39" s="446"/>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row>
    <row r="40" spans="1:120" ht="30" customHeight="1" thickBot="1" x14ac:dyDescent="0.3">
      <c r="A40" s="388"/>
      <c r="B40" s="394" t="s">
        <v>62</v>
      </c>
      <c r="C40" s="395"/>
      <c r="D40" s="395"/>
      <c r="E40" s="395"/>
      <c r="F40" s="395"/>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7"/>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row>
    <row r="41" spans="1:120"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row>
    <row r="42" spans="1:120" ht="21.75" customHeight="1" thickBot="1" x14ac:dyDescent="0.3">
      <c r="A42" s="440"/>
      <c r="B42" s="453" t="s">
        <v>27</v>
      </c>
      <c r="C42" s="454"/>
      <c r="D42" s="454"/>
      <c r="E42" s="454"/>
      <c r="F42" s="454"/>
      <c r="G42" s="454"/>
      <c r="H42" s="455"/>
      <c r="I42" s="456"/>
      <c r="J42" s="456"/>
      <c r="K42" s="456"/>
      <c r="L42" s="456"/>
      <c r="M42" s="456"/>
      <c r="N42" s="342"/>
      <c r="O42" s="342"/>
      <c r="P42" s="342"/>
      <c r="Q42" s="342"/>
      <c r="R42" s="342"/>
      <c r="S42" s="342"/>
      <c r="T42" s="342"/>
      <c r="U42" s="342"/>
      <c r="V42" s="342"/>
      <c r="W42" s="440"/>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row>
    <row r="43" spans="1:120"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9"/>
      <c r="W43" s="440"/>
      <c r="X43" s="460"/>
      <c r="Y43" s="461"/>
      <c r="Z43" s="461"/>
      <c r="AA43" s="461"/>
      <c r="AB43" s="461"/>
      <c r="AC43" s="461"/>
      <c r="AD43" s="461"/>
      <c r="AE43" s="461"/>
      <c r="AF43" s="462"/>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row>
    <row r="44" spans="1:120"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419"/>
      <c r="W44" s="388"/>
      <c r="X44" s="418" t="s">
        <v>41</v>
      </c>
      <c r="Y44" s="289"/>
      <c r="Z44" s="289"/>
      <c r="AA44" s="289"/>
      <c r="AB44" s="289"/>
      <c r="AC44" s="289"/>
      <c r="AD44" s="289"/>
      <c r="AE44" s="289"/>
      <c r="AF44" s="419"/>
      <c r="AH44" s="342"/>
      <c r="AI44" s="342"/>
      <c r="AJ44" s="342"/>
      <c r="AK44" s="342"/>
      <c r="AL44" s="342"/>
      <c r="AM44" s="342"/>
      <c r="AN44" s="342"/>
      <c r="AO44" s="342"/>
      <c r="AP44" s="342"/>
      <c r="AQ44" s="342"/>
      <c r="AR44" s="342"/>
      <c r="AS44" s="342"/>
      <c r="AT44" s="342"/>
    </row>
    <row r="45" spans="1:120" ht="43.5" customHeight="1" outlineLevel="1" x14ac:dyDescent="0.25">
      <c r="A45" s="463"/>
      <c r="B45" s="464" t="s">
        <v>17</v>
      </c>
      <c r="C45" s="425"/>
      <c r="D45" s="425"/>
      <c r="E45" s="425"/>
      <c r="F45" s="425"/>
      <c r="G45" s="422" t="s">
        <v>124</v>
      </c>
      <c r="H45" s="270"/>
      <c r="I45" s="422" t="s">
        <v>125</v>
      </c>
      <c r="J45" s="447"/>
      <c r="K45" s="447"/>
      <c r="L45" s="401"/>
      <c r="M45" s="420"/>
      <c r="N45" s="402" t="s">
        <v>78</v>
      </c>
      <c r="O45" s="403"/>
      <c r="P45" s="403" t="s">
        <v>136</v>
      </c>
      <c r="Q45" s="403"/>
      <c r="R45" s="422" t="s">
        <v>137</v>
      </c>
      <c r="S45" s="270"/>
      <c r="T45" s="425"/>
      <c r="U45" s="422" t="s">
        <v>138</v>
      </c>
      <c r="V45" s="401"/>
      <c r="W45" s="388"/>
      <c r="X45" s="465" t="s">
        <v>41</v>
      </c>
      <c r="Y45" s="466"/>
      <c r="Z45" s="467" t="s">
        <v>148</v>
      </c>
      <c r="AA45" s="467"/>
      <c r="AB45" s="422" t="s">
        <v>149</v>
      </c>
      <c r="AC45" s="270"/>
      <c r="AD45" s="425"/>
      <c r="AE45" s="467" t="s">
        <v>150</v>
      </c>
      <c r="AF45" s="468"/>
      <c r="AH45" s="342"/>
      <c r="AI45" s="342"/>
      <c r="AJ45" s="342"/>
      <c r="AK45" s="342"/>
      <c r="AL45" s="342"/>
      <c r="AM45" s="342"/>
      <c r="AN45" s="342"/>
      <c r="AO45" s="342"/>
      <c r="AP45" s="342"/>
      <c r="AQ45" s="342"/>
      <c r="AR45" s="342"/>
      <c r="AS45" s="342"/>
      <c r="AT45" s="342"/>
    </row>
    <row r="46" spans="1:120" ht="15" customHeight="1" outlineLevel="1" x14ac:dyDescent="0.25">
      <c r="A46" s="463"/>
      <c r="B46" s="435" t="s">
        <v>18</v>
      </c>
      <c r="C46" s="425"/>
      <c r="D46" s="425"/>
      <c r="E46" s="425"/>
      <c r="F46" s="425"/>
      <c r="G46" s="469">
        <v>0</v>
      </c>
      <c r="H46" s="427" t="str">
        <f>GENERALITES!$D$13</f>
        <v>kWh</v>
      </c>
      <c r="I46" s="448">
        <f>$N$10</f>
        <v>0.50590219224283306</v>
      </c>
      <c r="J46" s="449" t="s">
        <v>2</v>
      </c>
      <c r="K46" s="302">
        <f>IF(B46=Annexes!$B$3,G46*I46/100,SUMPRODUCT(G49:G52,I49:I52/100))</f>
        <v>0</v>
      </c>
      <c r="L46" s="428" t="str">
        <f>GENERALITES!$D$13</f>
        <v>kWh</v>
      </c>
      <c r="M46" s="420"/>
      <c r="N46" s="437">
        <f>GENERALITES!$D$46</f>
        <v>0.15</v>
      </c>
      <c r="O46" s="427" t="str">
        <f>GENERALITES!$E$46</f>
        <v>€ / kWh</v>
      </c>
      <c r="P46" s="302">
        <f>IF(B46=Annexes!$B$3,G46*N46,SUM(G49:G52)*N46)</f>
        <v>0</v>
      </c>
      <c r="Q46" s="427" t="s">
        <v>6</v>
      </c>
      <c r="R46" s="302">
        <f>IF($E$10&lt;&gt;0,P46/$E$10,0)</f>
        <v>0</v>
      </c>
      <c r="S46" s="427" t="s">
        <v>72</v>
      </c>
      <c r="T46" s="425"/>
      <c r="U46" s="302">
        <f>IF(B46=Annexes!$B$3,I46/100*P46,IF(SUM(G49:G52)&gt;0,K46/SUM(G49:G52)*P46,0))</f>
        <v>0</v>
      </c>
      <c r="V46" s="428" t="s">
        <v>6</v>
      </c>
      <c r="W46" s="388"/>
      <c r="X46" s="437">
        <f>GENERALITES!$M$46</f>
        <v>7.85E-4</v>
      </c>
      <c r="Y46" s="427" t="str">
        <f>GENERALITES!$N$46</f>
        <v>TCO2 / kWh</v>
      </c>
      <c r="Z46" s="302">
        <f>IF(B46=Annexes!$B$3,G46*X46,SUM(G49:G52)*X46)</f>
        <v>0</v>
      </c>
      <c r="AA46" s="427" t="s">
        <v>21</v>
      </c>
      <c r="AB46" s="302">
        <f>IF($E$10&lt;&gt;0,Z46/$E$10,0)</f>
        <v>0</v>
      </c>
      <c r="AC46" s="427" t="s">
        <v>73</v>
      </c>
      <c r="AD46" s="425"/>
      <c r="AE46" s="302">
        <f>IF(B46=Annexes!$B$3,I46/100*Z46,IF(SUM(G49:G52)&gt;0,K46/SUM(G49:G52)*Z46,0))</f>
        <v>0</v>
      </c>
      <c r="AF46" s="428" t="s">
        <v>21</v>
      </c>
      <c r="AH46" s="342"/>
      <c r="AI46" s="342"/>
      <c r="AJ46" s="342"/>
      <c r="AK46" s="342"/>
      <c r="AL46" s="342"/>
      <c r="AM46" s="342"/>
      <c r="AN46" s="342"/>
      <c r="AO46" s="342"/>
      <c r="AP46" s="342"/>
      <c r="AQ46" s="342"/>
      <c r="AR46" s="342"/>
      <c r="AS46" s="342"/>
      <c r="AT46" s="342"/>
    </row>
    <row r="47" spans="1:120"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32"/>
      <c r="W47" s="388"/>
      <c r="X47" s="431"/>
      <c r="Y47" s="420"/>
      <c r="Z47" s="420"/>
      <c r="AA47" s="420"/>
      <c r="AB47" s="420"/>
      <c r="AC47" s="420"/>
      <c r="AD47" s="420"/>
      <c r="AE47" s="420"/>
      <c r="AF47" s="43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row>
    <row r="48" spans="1:120" outlineLevel="1" x14ac:dyDescent="0.25">
      <c r="A48" s="463"/>
      <c r="B48" s="464" t="s">
        <v>7</v>
      </c>
      <c r="C48" s="425"/>
      <c r="D48" s="425"/>
      <c r="E48" s="425"/>
      <c r="F48" s="425"/>
      <c r="G48" s="425"/>
      <c r="H48" s="425"/>
      <c r="I48" s="434"/>
      <c r="J48" s="434"/>
      <c r="K48" s="425"/>
      <c r="L48" s="470"/>
      <c r="M48" s="420"/>
      <c r="N48" s="471"/>
      <c r="O48" s="425"/>
      <c r="P48" s="425"/>
      <c r="Q48" s="425"/>
      <c r="R48" s="433"/>
      <c r="S48" s="433"/>
      <c r="T48" s="433"/>
      <c r="U48" s="420"/>
      <c r="V48" s="432"/>
      <c r="W48" s="388"/>
      <c r="X48" s="431"/>
      <c r="Y48" s="420"/>
      <c r="Z48" s="420"/>
      <c r="AA48" s="420"/>
      <c r="AB48" s="420"/>
      <c r="AC48" s="420"/>
      <c r="AD48" s="420"/>
      <c r="AE48" s="420"/>
      <c r="AF48" s="432"/>
    </row>
    <row r="49" spans="1:120" outlineLevel="1" x14ac:dyDescent="0.25">
      <c r="A49" s="463"/>
      <c r="B49" s="472"/>
      <c r="C49" s="425"/>
      <c r="D49" s="425"/>
      <c r="E49" s="425"/>
      <c r="F49" s="425"/>
      <c r="G49" s="473"/>
      <c r="H49" s="474" t="str">
        <f>GENERALITES!$D$13</f>
        <v>kWh</v>
      </c>
      <c r="I49" s="436"/>
      <c r="J49" s="430" t="s">
        <v>2</v>
      </c>
      <c r="K49" s="425"/>
      <c r="L49" s="470"/>
      <c r="M49" s="420"/>
      <c r="N49" s="471"/>
      <c r="O49" s="425"/>
      <c r="P49" s="425"/>
      <c r="Q49" s="425"/>
      <c r="R49" s="475" t="s">
        <v>40</v>
      </c>
      <c r="S49" s="475"/>
      <c r="T49" s="475"/>
      <c r="U49" s="420"/>
      <c r="V49" s="432"/>
      <c r="W49" s="388"/>
      <c r="X49" s="431"/>
      <c r="Y49" s="420"/>
      <c r="Z49" s="420"/>
      <c r="AA49" s="420"/>
      <c r="AB49" s="420"/>
      <c r="AC49" s="420"/>
      <c r="AD49" s="420"/>
      <c r="AE49" s="420"/>
      <c r="AF49" s="432"/>
    </row>
    <row r="50" spans="1:120" outlineLevel="1" x14ac:dyDescent="0.25">
      <c r="A50" s="463"/>
      <c r="B50" s="472"/>
      <c r="C50" s="425"/>
      <c r="D50" s="425"/>
      <c r="E50" s="425"/>
      <c r="F50" s="425"/>
      <c r="G50" s="473"/>
      <c r="H50" s="474" t="str">
        <f>GENERALITES!$D$13</f>
        <v>kWh</v>
      </c>
      <c r="I50" s="436"/>
      <c r="J50" s="430" t="s">
        <v>2</v>
      </c>
      <c r="K50" s="425"/>
      <c r="L50" s="470"/>
      <c r="M50" s="420"/>
      <c r="N50" s="471"/>
      <c r="O50" s="425"/>
      <c r="P50" s="425"/>
      <c r="Q50" s="425"/>
      <c r="R50" s="433"/>
      <c r="S50" s="433"/>
      <c r="T50" s="433"/>
      <c r="U50" s="420"/>
      <c r="V50" s="432"/>
      <c r="W50" s="388"/>
      <c r="X50" s="431"/>
      <c r="Y50" s="420"/>
      <c r="Z50" s="420"/>
      <c r="AA50" s="420"/>
      <c r="AB50" s="420"/>
      <c r="AC50" s="420"/>
      <c r="AD50" s="420"/>
      <c r="AE50" s="420"/>
      <c r="AF50" s="432"/>
    </row>
    <row r="51" spans="1:120" outlineLevel="1" x14ac:dyDescent="0.25">
      <c r="B51" s="472"/>
      <c r="C51" s="425"/>
      <c r="D51" s="425"/>
      <c r="E51" s="425"/>
      <c r="F51" s="425"/>
      <c r="G51" s="473"/>
      <c r="H51" s="474" t="str">
        <f>GENERALITES!$D$13</f>
        <v>kWh</v>
      </c>
      <c r="I51" s="436"/>
      <c r="J51" s="430" t="s">
        <v>2</v>
      </c>
      <c r="K51" s="425"/>
      <c r="L51" s="470"/>
      <c r="M51" s="420"/>
      <c r="N51" s="471"/>
      <c r="O51" s="425"/>
      <c r="P51" s="425"/>
      <c r="Q51" s="425"/>
      <c r="R51" s="433"/>
      <c r="S51" s="433"/>
      <c r="T51" s="433"/>
      <c r="U51" s="420"/>
      <c r="V51" s="439"/>
      <c r="W51" s="476"/>
      <c r="X51" s="431"/>
      <c r="Y51" s="420"/>
      <c r="Z51" s="420"/>
      <c r="AA51" s="420"/>
      <c r="AB51" s="420"/>
      <c r="AC51" s="420"/>
      <c r="AD51" s="420"/>
      <c r="AE51" s="420"/>
      <c r="AF51" s="432"/>
    </row>
    <row r="52" spans="1:120" outlineLevel="1" x14ac:dyDescent="0.25">
      <c r="B52" s="472"/>
      <c r="C52" s="425"/>
      <c r="D52" s="425"/>
      <c r="E52" s="425"/>
      <c r="F52" s="425"/>
      <c r="G52" s="473"/>
      <c r="H52" s="474" t="str">
        <f>GENERALITES!$D$13</f>
        <v>kWh</v>
      </c>
      <c r="I52" s="436"/>
      <c r="J52" s="430" t="s">
        <v>2</v>
      </c>
      <c r="K52" s="425"/>
      <c r="L52" s="470"/>
      <c r="M52" s="342"/>
      <c r="N52" s="471"/>
      <c r="O52" s="425"/>
      <c r="P52" s="425"/>
      <c r="Q52" s="425"/>
      <c r="R52" s="433"/>
      <c r="S52" s="433"/>
      <c r="T52" s="433"/>
      <c r="U52" s="420"/>
      <c r="V52" s="439"/>
      <c r="W52" s="476"/>
      <c r="X52" s="431"/>
      <c r="Y52" s="420"/>
      <c r="Z52" s="420"/>
      <c r="AA52" s="420"/>
      <c r="AB52" s="420"/>
      <c r="AC52" s="420"/>
      <c r="AD52" s="420"/>
      <c r="AE52" s="420"/>
      <c r="AF52" s="432"/>
    </row>
    <row r="53" spans="1:120"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9"/>
      <c r="W53" s="440"/>
      <c r="X53" s="444"/>
      <c r="Y53" s="445"/>
      <c r="Z53" s="445"/>
      <c r="AA53" s="445"/>
      <c r="AB53" s="445"/>
      <c r="AC53" s="445"/>
      <c r="AD53" s="445"/>
      <c r="AE53" s="445"/>
      <c r="AF53" s="446"/>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row>
    <row r="54" spans="1:120" ht="21.75" customHeight="1" thickBot="1" x14ac:dyDescent="0.3">
      <c r="A54" s="440"/>
      <c r="B54" s="480" t="s">
        <v>28</v>
      </c>
      <c r="C54" s="481"/>
      <c r="D54" s="481"/>
      <c r="E54" s="481"/>
      <c r="F54" s="481"/>
      <c r="G54" s="481"/>
      <c r="H54" s="482"/>
      <c r="I54" s="342"/>
      <c r="J54" s="342"/>
      <c r="K54" s="342"/>
      <c r="L54" s="342"/>
      <c r="M54" s="342"/>
      <c r="N54" s="342"/>
      <c r="O54" s="342"/>
      <c r="P54" s="342"/>
      <c r="Q54" s="342"/>
      <c r="R54" s="342"/>
      <c r="S54" s="342"/>
      <c r="T54" s="342"/>
      <c r="U54" s="342"/>
      <c r="V54" s="342"/>
      <c r="W54" s="440"/>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row>
    <row r="55" spans="1:120" outlineLevel="1" x14ac:dyDescent="0.25">
      <c r="B55" s="412"/>
      <c r="C55" s="413"/>
      <c r="D55" s="413"/>
      <c r="E55" s="413"/>
      <c r="F55" s="413"/>
      <c r="G55" s="413"/>
      <c r="H55" s="413"/>
      <c r="I55" s="413"/>
      <c r="J55" s="413"/>
      <c r="K55" s="413"/>
      <c r="L55" s="414"/>
      <c r="N55" s="412"/>
      <c r="O55" s="413"/>
      <c r="P55" s="413"/>
      <c r="Q55" s="413"/>
      <c r="R55" s="413"/>
      <c r="S55" s="413"/>
      <c r="T55" s="413"/>
      <c r="U55" s="413"/>
      <c r="V55" s="414"/>
      <c r="X55" s="412"/>
      <c r="Y55" s="413"/>
      <c r="Z55" s="413"/>
      <c r="AA55" s="413"/>
      <c r="AB55" s="413"/>
      <c r="AC55" s="413"/>
      <c r="AD55" s="413"/>
      <c r="AE55" s="413"/>
      <c r="AF55" s="414"/>
    </row>
    <row r="56" spans="1:120" ht="15" customHeight="1" outlineLevel="1" x14ac:dyDescent="0.25">
      <c r="B56" s="415" t="s">
        <v>48</v>
      </c>
      <c r="C56" s="416"/>
      <c r="D56" s="416"/>
      <c r="E56" s="416"/>
      <c r="F56" s="416"/>
      <c r="G56" s="416"/>
      <c r="H56" s="416"/>
      <c r="I56" s="416"/>
      <c r="J56" s="416"/>
      <c r="K56" s="416"/>
      <c r="L56" s="417"/>
      <c r="M56" s="433"/>
      <c r="N56" s="418" t="s">
        <v>49</v>
      </c>
      <c r="O56" s="289"/>
      <c r="P56" s="289"/>
      <c r="Q56" s="289"/>
      <c r="R56" s="289"/>
      <c r="S56" s="289"/>
      <c r="T56" s="289"/>
      <c r="U56" s="289"/>
      <c r="V56" s="419"/>
      <c r="W56" s="388"/>
      <c r="X56" s="418" t="s">
        <v>42</v>
      </c>
      <c r="Y56" s="289"/>
      <c r="Z56" s="289"/>
      <c r="AA56" s="289"/>
      <c r="AB56" s="289"/>
      <c r="AC56" s="289"/>
      <c r="AD56" s="289"/>
      <c r="AE56" s="289"/>
      <c r="AF56" s="419"/>
      <c r="AH56" s="342"/>
      <c r="AI56" s="342"/>
      <c r="AJ56" s="342"/>
      <c r="AK56" s="342"/>
      <c r="AL56" s="342"/>
      <c r="AM56" s="342"/>
      <c r="AN56" s="342"/>
      <c r="AO56" s="342"/>
      <c r="AP56" s="342"/>
      <c r="AQ56" s="342"/>
      <c r="AR56" s="342"/>
      <c r="AS56" s="342"/>
      <c r="AT56" s="342"/>
    </row>
    <row r="57" spans="1:120" ht="43.5" customHeight="1" outlineLevel="1" x14ac:dyDescent="0.25">
      <c r="B57" s="464" t="s">
        <v>17</v>
      </c>
      <c r="C57" s="425"/>
      <c r="D57" s="425"/>
      <c r="E57" s="425"/>
      <c r="F57" s="425"/>
      <c r="G57" s="422" t="s">
        <v>126</v>
      </c>
      <c r="H57" s="270"/>
      <c r="I57" s="422" t="s">
        <v>127</v>
      </c>
      <c r="J57" s="447"/>
      <c r="K57" s="447"/>
      <c r="L57" s="401"/>
      <c r="M57" s="420"/>
      <c r="N57" s="402" t="s">
        <v>84</v>
      </c>
      <c r="O57" s="403"/>
      <c r="P57" s="403" t="s">
        <v>139</v>
      </c>
      <c r="Q57" s="403"/>
      <c r="R57" s="422" t="s">
        <v>140</v>
      </c>
      <c r="S57" s="270"/>
      <c r="T57" s="425"/>
      <c r="U57" s="422" t="s">
        <v>141</v>
      </c>
      <c r="V57" s="401"/>
      <c r="W57" s="388"/>
      <c r="X57" s="465" t="s">
        <v>42</v>
      </c>
      <c r="Y57" s="466"/>
      <c r="Z57" s="467" t="s">
        <v>554</v>
      </c>
      <c r="AA57" s="467"/>
      <c r="AB57" s="422" t="s">
        <v>151</v>
      </c>
      <c r="AC57" s="270"/>
      <c r="AD57" s="425"/>
      <c r="AE57" s="467" t="s">
        <v>152</v>
      </c>
      <c r="AF57" s="468"/>
      <c r="AH57" s="342"/>
      <c r="AI57" s="342"/>
      <c r="AJ57" s="342"/>
      <c r="AK57" s="342"/>
      <c r="AL57" s="342"/>
      <c r="AM57" s="342"/>
      <c r="AN57" s="342"/>
      <c r="AO57" s="342"/>
      <c r="AP57" s="342"/>
      <c r="AQ57" s="342"/>
      <c r="AR57" s="342"/>
      <c r="AS57" s="342"/>
      <c r="AT57" s="342"/>
    </row>
    <row r="58" spans="1:120" outlineLevel="1" x14ac:dyDescent="0.25">
      <c r="B58" s="435" t="s">
        <v>18</v>
      </c>
      <c r="C58" s="425"/>
      <c r="D58" s="425"/>
      <c r="E58" s="425"/>
      <c r="F58" s="425"/>
      <c r="G58" s="469"/>
      <c r="H58" s="427" t="str">
        <f>GENERALITES!$D$14</f>
        <v>kg</v>
      </c>
      <c r="I58" s="448">
        <f>$N$10</f>
        <v>0.50590219224283306</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302">
        <f>IF($E$10&lt;&gt;0,P58/$E$10,0)</f>
        <v>0</v>
      </c>
      <c r="S58" s="427" t="s">
        <v>72</v>
      </c>
      <c r="T58" s="425"/>
      <c r="U58" s="302">
        <f>IF(B58=Annexes!$B$3,I58/100*P58,IF(SUM(G61:G64)&gt;0,K58/SUM(G61:G64)*P58,0))</f>
        <v>0</v>
      </c>
      <c r="V58" s="428" t="s">
        <v>6</v>
      </c>
      <c r="W58" s="388"/>
      <c r="X58" s="437">
        <f>GENERALITES!$M$47</f>
        <v>0</v>
      </c>
      <c r="Y58" s="427" t="str">
        <f>GENERALITES!$N$47</f>
        <v>TCO2 / kg</v>
      </c>
      <c r="Z58" s="302">
        <f>IF(B58=Annexes!$B$3,G58*X58,SUM(G61:G64)*X58)</f>
        <v>0</v>
      </c>
      <c r="AA58" s="427" t="s">
        <v>21</v>
      </c>
      <c r="AB58" s="302">
        <f>IF($E$10&lt;&gt;0,Z58/$E$10,0)</f>
        <v>0</v>
      </c>
      <c r="AC58" s="427" t="s">
        <v>73</v>
      </c>
      <c r="AD58" s="425"/>
      <c r="AE58" s="302">
        <f>IF(B58=Annexes!$B$3,I58/100*Z58,IF(SUM(G61:G64)&gt;0,K58/SUM(G61:G64)*Z58,0))</f>
        <v>0</v>
      </c>
      <c r="AF58" s="428" t="s">
        <v>21</v>
      </c>
      <c r="AH58" s="342"/>
      <c r="AI58" s="342"/>
      <c r="AJ58" s="342"/>
      <c r="AK58" s="342"/>
      <c r="AL58" s="342"/>
      <c r="AM58" s="342"/>
      <c r="AN58" s="342"/>
      <c r="AO58" s="342"/>
      <c r="AP58" s="342"/>
      <c r="AQ58" s="342"/>
      <c r="AR58" s="342"/>
      <c r="AS58" s="342"/>
      <c r="AT58" s="342"/>
    </row>
    <row r="59" spans="1:120" outlineLevel="1" x14ac:dyDescent="0.25">
      <c r="B59" s="431"/>
      <c r="C59" s="425"/>
      <c r="D59" s="425"/>
      <c r="E59" s="425"/>
      <c r="F59" s="425"/>
      <c r="G59" s="420"/>
      <c r="H59" s="420"/>
      <c r="I59" s="420"/>
      <c r="J59" s="420"/>
      <c r="K59" s="420"/>
      <c r="L59" s="432"/>
      <c r="M59" s="420"/>
      <c r="N59" s="431"/>
      <c r="O59" s="420"/>
      <c r="P59" s="420"/>
      <c r="Q59" s="420" t="s">
        <v>40</v>
      </c>
      <c r="R59" s="420"/>
      <c r="S59" s="420"/>
      <c r="T59" s="420"/>
      <c r="U59" s="420"/>
      <c r="V59" s="432"/>
      <c r="W59" s="388"/>
      <c r="X59" s="431"/>
      <c r="Y59" s="420"/>
      <c r="Z59" s="420"/>
      <c r="AA59" s="420"/>
      <c r="AB59" s="420"/>
      <c r="AC59" s="420"/>
      <c r="AD59" s="420"/>
      <c r="AE59" s="420"/>
      <c r="AF59" s="432"/>
      <c r="AH59" s="342"/>
      <c r="AI59" s="342"/>
      <c r="AJ59" s="342"/>
      <c r="AK59" s="342"/>
      <c r="AL59" s="342"/>
      <c r="AM59" s="342"/>
      <c r="AN59" s="342"/>
      <c r="AO59" s="342"/>
      <c r="AP59" s="342"/>
      <c r="AQ59" s="342"/>
      <c r="AR59" s="342"/>
      <c r="AS59" s="342"/>
      <c r="AT59" s="342"/>
    </row>
    <row r="60" spans="1:120" outlineLevel="1" x14ac:dyDescent="0.25">
      <c r="B60" s="464" t="s">
        <v>7</v>
      </c>
      <c r="C60" s="425"/>
      <c r="D60" s="425"/>
      <c r="E60" s="425"/>
      <c r="F60" s="425"/>
      <c r="G60" s="483"/>
      <c r="H60" s="484"/>
      <c r="I60" s="434"/>
      <c r="J60" s="434"/>
      <c r="K60" s="425"/>
      <c r="L60" s="470"/>
      <c r="M60" s="420"/>
      <c r="N60" s="471"/>
      <c r="O60" s="425"/>
      <c r="P60" s="425"/>
      <c r="Q60" s="425"/>
      <c r="R60" s="433"/>
      <c r="S60" s="433"/>
      <c r="T60" s="433"/>
      <c r="U60" s="420"/>
      <c r="V60" s="432"/>
      <c r="W60" s="388"/>
      <c r="X60" s="431"/>
      <c r="Y60" s="420"/>
      <c r="Z60" s="420"/>
      <c r="AA60" s="420"/>
      <c r="AB60" s="420"/>
      <c r="AC60" s="420"/>
      <c r="AD60" s="420"/>
      <c r="AE60" s="420"/>
      <c r="AF60" s="432"/>
      <c r="AH60" s="342"/>
      <c r="AI60" s="342"/>
      <c r="AJ60" s="342"/>
      <c r="AK60" s="342"/>
      <c r="AL60" s="342"/>
      <c r="AM60" s="342"/>
      <c r="AN60" s="342"/>
      <c r="AO60" s="342"/>
      <c r="AP60" s="342"/>
      <c r="AQ60" s="342"/>
      <c r="AR60" s="342"/>
      <c r="AS60" s="342"/>
      <c r="AT60" s="342"/>
    </row>
    <row r="61" spans="1:120" outlineLevel="1" x14ac:dyDescent="0.25">
      <c r="B61" s="472"/>
      <c r="C61" s="425"/>
      <c r="D61" s="425"/>
      <c r="E61" s="425"/>
      <c r="F61" s="425"/>
      <c r="G61" s="473"/>
      <c r="H61" s="427" t="str">
        <f>GENERALITES!$D$14</f>
        <v>kg</v>
      </c>
      <c r="I61" s="436"/>
      <c r="J61" s="430" t="s">
        <v>2</v>
      </c>
      <c r="K61" s="425"/>
      <c r="L61" s="470"/>
      <c r="M61" s="420"/>
      <c r="N61" s="471"/>
      <c r="O61" s="425"/>
      <c r="P61" s="425"/>
      <c r="Q61" s="425"/>
      <c r="R61" s="475"/>
      <c r="S61" s="475"/>
      <c r="T61" s="475"/>
      <c r="U61" s="420"/>
      <c r="V61" s="432"/>
      <c r="W61" s="388"/>
      <c r="X61" s="431"/>
      <c r="Y61" s="420"/>
      <c r="Z61" s="420"/>
      <c r="AA61" s="420"/>
      <c r="AB61" s="420"/>
      <c r="AC61" s="420"/>
      <c r="AD61" s="420"/>
      <c r="AE61" s="420"/>
      <c r="AF61" s="432"/>
      <c r="AH61" s="342"/>
      <c r="AI61" s="342"/>
      <c r="AJ61" s="342"/>
      <c r="AK61" s="342"/>
      <c r="AL61" s="342"/>
      <c r="AM61" s="342"/>
      <c r="AN61" s="342"/>
      <c r="AO61" s="342"/>
      <c r="AP61" s="342"/>
      <c r="AQ61" s="342"/>
      <c r="AR61" s="342"/>
      <c r="AS61" s="342"/>
      <c r="AT61" s="342"/>
    </row>
    <row r="62" spans="1:120" outlineLevel="1" x14ac:dyDescent="0.25">
      <c r="B62" s="472"/>
      <c r="C62" s="425"/>
      <c r="D62" s="425"/>
      <c r="E62" s="425"/>
      <c r="F62" s="425"/>
      <c r="G62" s="473"/>
      <c r="H62" s="427" t="str">
        <f>GENERALITES!$D$14</f>
        <v>kg</v>
      </c>
      <c r="I62" s="436"/>
      <c r="J62" s="430" t="s">
        <v>2</v>
      </c>
      <c r="K62" s="425"/>
      <c r="L62" s="470"/>
      <c r="M62" s="420"/>
      <c r="N62" s="471"/>
      <c r="O62" s="425"/>
      <c r="P62" s="425"/>
      <c r="Q62" s="425"/>
      <c r="R62" s="433"/>
      <c r="S62" s="433"/>
      <c r="T62" s="433"/>
      <c r="U62" s="420"/>
      <c r="V62" s="432"/>
      <c r="W62" s="388"/>
      <c r="X62" s="431"/>
      <c r="Y62" s="420"/>
      <c r="Z62" s="420"/>
      <c r="AA62" s="420"/>
      <c r="AB62" s="420"/>
      <c r="AC62" s="420"/>
      <c r="AD62" s="420"/>
      <c r="AE62" s="420"/>
      <c r="AF62" s="432"/>
      <c r="AH62" s="342"/>
      <c r="AI62" s="342"/>
      <c r="AJ62" s="342"/>
      <c r="AK62" s="342"/>
      <c r="AL62" s="342"/>
      <c r="AM62" s="342"/>
      <c r="AN62" s="342"/>
      <c r="AO62" s="342"/>
      <c r="AP62" s="342"/>
      <c r="AQ62" s="342"/>
      <c r="AR62" s="342"/>
      <c r="AS62" s="342"/>
      <c r="AT62" s="342"/>
    </row>
    <row r="63" spans="1:120" outlineLevel="1" x14ac:dyDescent="0.25">
      <c r="B63" s="472"/>
      <c r="C63" s="425"/>
      <c r="D63" s="425"/>
      <c r="E63" s="425"/>
      <c r="F63" s="425"/>
      <c r="G63" s="473"/>
      <c r="H63" s="427" t="str">
        <f>GENERALITES!$D$14</f>
        <v>kg</v>
      </c>
      <c r="I63" s="436"/>
      <c r="J63" s="430" t="s">
        <v>2</v>
      </c>
      <c r="K63" s="425"/>
      <c r="L63" s="470"/>
      <c r="M63" s="420"/>
      <c r="N63" s="471"/>
      <c r="O63" s="425"/>
      <c r="P63" s="425"/>
      <c r="Q63" s="425"/>
      <c r="R63" s="433"/>
      <c r="S63" s="433"/>
      <c r="T63" s="433"/>
      <c r="U63" s="420"/>
      <c r="V63" s="439"/>
      <c r="W63" s="476"/>
      <c r="X63" s="431"/>
      <c r="Y63" s="420"/>
      <c r="Z63" s="420"/>
      <c r="AA63" s="420"/>
      <c r="AB63" s="420"/>
      <c r="AC63" s="420"/>
      <c r="AD63" s="420"/>
      <c r="AE63" s="420"/>
      <c r="AF63" s="432"/>
      <c r="AH63" s="342"/>
      <c r="AI63" s="342"/>
      <c r="AJ63" s="342"/>
      <c r="AK63" s="342"/>
      <c r="AL63" s="342"/>
      <c r="AM63" s="342"/>
      <c r="AN63" s="342"/>
      <c r="AO63" s="342"/>
      <c r="AP63" s="342"/>
      <c r="AQ63" s="342"/>
      <c r="AR63" s="342"/>
      <c r="AS63" s="342"/>
      <c r="AT63" s="342"/>
    </row>
    <row r="64" spans="1:120" outlineLevel="1" x14ac:dyDescent="0.25">
      <c r="B64" s="472"/>
      <c r="C64" s="425"/>
      <c r="D64" s="425"/>
      <c r="E64" s="425"/>
      <c r="F64" s="425"/>
      <c r="G64" s="473"/>
      <c r="H64" s="427" t="str">
        <f>GENERALITES!$D$14</f>
        <v>kg</v>
      </c>
      <c r="I64" s="436"/>
      <c r="J64" s="430" t="s">
        <v>2</v>
      </c>
      <c r="K64" s="425"/>
      <c r="L64" s="470"/>
      <c r="M64" s="342"/>
      <c r="N64" s="471"/>
      <c r="O64" s="425"/>
      <c r="P64" s="425"/>
      <c r="Q64" s="425"/>
      <c r="R64" s="433"/>
      <c r="S64" s="433"/>
      <c r="T64" s="433"/>
      <c r="U64" s="420"/>
      <c r="V64" s="439"/>
      <c r="W64" s="476"/>
      <c r="X64" s="431"/>
      <c r="Y64" s="420"/>
      <c r="Z64" s="420"/>
      <c r="AA64" s="420"/>
      <c r="AB64" s="420"/>
      <c r="AC64" s="420"/>
      <c r="AD64" s="420"/>
      <c r="AE64" s="420"/>
      <c r="AF64" s="432"/>
      <c r="AH64" s="342"/>
      <c r="AI64" s="342"/>
      <c r="AJ64" s="342"/>
      <c r="AK64" s="342"/>
      <c r="AL64" s="342"/>
      <c r="AM64" s="342"/>
      <c r="AN64" s="342"/>
      <c r="AO64" s="342"/>
      <c r="AP64" s="342"/>
      <c r="AQ64" s="342"/>
      <c r="AR64" s="342"/>
      <c r="AS64" s="342"/>
      <c r="AT64" s="342"/>
    </row>
    <row r="65" spans="1:120"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9"/>
      <c r="W65" s="440"/>
      <c r="X65" s="444"/>
      <c r="Y65" s="445"/>
      <c r="Z65" s="445"/>
      <c r="AA65" s="445"/>
      <c r="AB65" s="445"/>
      <c r="AC65" s="445"/>
      <c r="AD65" s="445"/>
      <c r="AE65" s="445"/>
      <c r="AF65" s="446"/>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row>
    <row r="66" spans="1:120" ht="21.75" customHeight="1" thickBot="1" x14ac:dyDescent="0.3">
      <c r="A66" s="440"/>
      <c r="B66" s="480" t="str">
        <f>GENERALITES!$B$48</f>
        <v>Autre énergie</v>
      </c>
      <c r="C66" s="481"/>
      <c r="D66" s="481"/>
      <c r="E66" s="481"/>
      <c r="F66" s="481"/>
      <c r="G66" s="481"/>
      <c r="H66" s="482"/>
      <c r="I66" s="342"/>
      <c r="J66" s="342"/>
      <c r="K66" s="342"/>
      <c r="L66" s="342"/>
      <c r="M66" s="342"/>
      <c r="N66" s="342"/>
      <c r="O66" s="342"/>
      <c r="P66" s="342"/>
      <c r="Q66" s="342"/>
      <c r="R66" s="342"/>
      <c r="S66" s="342"/>
      <c r="T66" s="342"/>
      <c r="U66" s="342"/>
      <c r="V66" s="342"/>
      <c r="W66" s="440"/>
      <c r="X66" s="388"/>
      <c r="Y66" s="388"/>
      <c r="Z66" s="388"/>
      <c r="AA66" s="388"/>
      <c r="AB66" s="388"/>
      <c r="AC66" s="388"/>
      <c r="AD66" s="388"/>
      <c r="AE66" s="388"/>
      <c r="AF66" s="388"/>
      <c r="AG66" s="388"/>
      <c r="AH66" s="388"/>
      <c r="AI66" s="388"/>
      <c r="AJ66" s="388"/>
      <c r="AK66" s="388" t="s">
        <v>40</v>
      </c>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row>
    <row r="67" spans="1:120"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4"/>
      <c r="X67" s="412"/>
      <c r="Y67" s="413"/>
      <c r="Z67" s="413"/>
      <c r="AA67" s="413"/>
      <c r="AB67" s="413"/>
      <c r="AC67" s="413"/>
      <c r="AD67" s="413"/>
      <c r="AE67" s="413"/>
      <c r="AF67" s="414"/>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row>
    <row r="68" spans="1:120"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419"/>
      <c r="W68" s="388"/>
      <c r="X68" s="418" t="s">
        <v>68</v>
      </c>
      <c r="Y68" s="289"/>
      <c r="Z68" s="289"/>
      <c r="AA68" s="289"/>
      <c r="AB68" s="289"/>
      <c r="AC68" s="289"/>
      <c r="AD68" s="289"/>
      <c r="AE68" s="289"/>
      <c r="AF68" s="419"/>
      <c r="AG68" s="388"/>
      <c r="AH68" s="342"/>
      <c r="AI68" s="342"/>
      <c r="AJ68" s="342"/>
      <c r="AK68" s="342"/>
      <c r="AL68" s="342"/>
      <c r="AM68" s="342"/>
      <c r="AN68" s="342"/>
      <c r="AO68" s="342"/>
      <c r="AP68" s="342"/>
      <c r="AQ68" s="342"/>
      <c r="AR68" s="342"/>
      <c r="AS68" s="342"/>
      <c r="AT68" s="342"/>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row>
    <row r="69" spans="1:120" ht="43.5" customHeight="1" outlineLevel="1" x14ac:dyDescent="0.25">
      <c r="A69" s="440"/>
      <c r="B69" s="464" t="s">
        <v>17</v>
      </c>
      <c r="C69" s="425"/>
      <c r="D69" s="425"/>
      <c r="E69" s="425"/>
      <c r="F69" s="425"/>
      <c r="G69" s="422" t="s">
        <v>128</v>
      </c>
      <c r="H69" s="270"/>
      <c r="I69" s="422" t="s">
        <v>129</v>
      </c>
      <c r="J69" s="447"/>
      <c r="K69" s="447"/>
      <c r="L69" s="401"/>
      <c r="M69" s="420"/>
      <c r="N69" s="402" t="s">
        <v>69</v>
      </c>
      <c r="O69" s="403"/>
      <c r="P69" s="403" t="s">
        <v>166</v>
      </c>
      <c r="Q69" s="403"/>
      <c r="R69" s="422" t="s">
        <v>153</v>
      </c>
      <c r="S69" s="270"/>
      <c r="T69" s="425"/>
      <c r="U69" s="422" t="s">
        <v>154</v>
      </c>
      <c r="V69" s="401"/>
      <c r="W69" s="388"/>
      <c r="X69" s="465" t="s">
        <v>68</v>
      </c>
      <c r="Y69" s="466"/>
      <c r="Z69" s="467" t="s">
        <v>555</v>
      </c>
      <c r="AA69" s="467"/>
      <c r="AB69" s="422" t="s">
        <v>155</v>
      </c>
      <c r="AC69" s="270"/>
      <c r="AD69" s="425"/>
      <c r="AE69" s="467" t="s">
        <v>156</v>
      </c>
      <c r="AF69" s="468"/>
      <c r="AG69" s="388"/>
      <c r="AH69" s="342"/>
      <c r="AI69" s="342"/>
      <c r="AJ69" s="342"/>
      <c r="AK69" s="342"/>
      <c r="AL69" s="342"/>
      <c r="AM69" s="342"/>
      <c r="AN69" s="342"/>
      <c r="AO69" s="342"/>
      <c r="AP69" s="342"/>
      <c r="AQ69" s="342"/>
      <c r="AR69" s="342"/>
      <c r="AS69" s="342"/>
      <c r="AT69" s="342"/>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row>
    <row r="70" spans="1:120" outlineLevel="1" x14ac:dyDescent="0.25">
      <c r="A70" s="440"/>
      <c r="B70" s="435" t="s">
        <v>18</v>
      </c>
      <c r="C70" s="425"/>
      <c r="D70" s="425"/>
      <c r="E70" s="425"/>
      <c r="F70" s="425"/>
      <c r="G70" s="469"/>
      <c r="H70" s="427">
        <f>GENERALITES!$D$15</f>
        <v>0</v>
      </c>
      <c r="I70" s="485">
        <f>$N$10</f>
        <v>0.50590219224283306</v>
      </c>
      <c r="J70" s="449" t="s">
        <v>2</v>
      </c>
      <c r="K70" s="302">
        <f>IF(B70=Annexes!$B$3,G70*I70/100,SUMPRODUCT(G73:G76,I73:I76/100))</f>
        <v>0</v>
      </c>
      <c r="L70" s="428">
        <f>GENERALITES!$D$15</f>
        <v>0</v>
      </c>
      <c r="M70" s="420"/>
      <c r="N70" s="437">
        <f>GENERALITES!$D$48</f>
        <v>0</v>
      </c>
      <c r="O70" s="427" t="s">
        <v>9</v>
      </c>
      <c r="P70" s="302">
        <f>IF(B70=Annexes!$B$3,G70*N70,SUM(G73:G76)*N70)</f>
        <v>0</v>
      </c>
      <c r="Q70" s="427" t="s">
        <v>6</v>
      </c>
      <c r="R70" s="302">
        <f>IF($E$10&lt;&gt;0,P70/$E$10,0)</f>
        <v>0</v>
      </c>
      <c r="S70" s="427" t="s">
        <v>72</v>
      </c>
      <c r="T70" s="425"/>
      <c r="U70" s="302">
        <f>IF(B70=Annexes!$B$3,I70/100*P70,IF(SUM(G73:G76)&gt;0,K70/SUM(G73:G76)*P70,0))</f>
        <v>0</v>
      </c>
      <c r="V70" s="428" t="s">
        <v>6</v>
      </c>
      <c r="W70" s="388"/>
      <c r="X70" s="437">
        <f>GENERALITES!$M$48</f>
        <v>0</v>
      </c>
      <c r="Y70" s="427" t="str">
        <f>GENERALITES!$N$48</f>
        <v xml:space="preserve">TCO2 / </v>
      </c>
      <c r="Z70" s="302">
        <f>IF(B70=Annexes!$B$3,G70*X70,SUM(G73:G76)*X70)</f>
        <v>0</v>
      </c>
      <c r="AA70" s="427" t="s">
        <v>21</v>
      </c>
      <c r="AB70" s="302">
        <f>IF($E$10&lt;&gt;0,Z70/$E$10,0)</f>
        <v>0</v>
      </c>
      <c r="AC70" s="427" t="s">
        <v>73</v>
      </c>
      <c r="AD70" s="425"/>
      <c r="AE70" s="302">
        <f>IF(B70=Annexes!$B$3,I70/100*Z70,IF(SUM(G73:G76)&gt;0,K70/SUM(G73:G76)*Z70,0))</f>
        <v>0</v>
      </c>
      <c r="AF70" s="428" t="s">
        <v>21</v>
      </c>
      <c r="AG70" s="388"/>
      <c r="AH70" s="342"/>
      <c r="AI70" s="342"/>
      <c r="AJ70" s="342"/>
      <c r="AK70" s="342"/>
      <c r="AL70" s="342"/>
      <c r="AM70" s="342"/>
      <c r="AN70" s="342"/>
      <c r="AO70" s="342"/>
      <c r="AP70" s="342"/>
      <c r="AQ70" s="342"/>
      <c r="AR70" s="342"/>
      <c r="AS70" s="342"/>
      <c r="AT70" s="342"/>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row>
    <row r="71" spans="1:120" outlineLevel="1" x14ac:dyDescent="0.25">
      <c r="A71" s="440"/>
      <c r="B71" s="431"/>
      <c r="C71" s="425"/>
      <c r="D71" s="425"/>
      <c r="E71" s="425"/>
      <c r="F71" s="425"/>
      <c r="G71" s="420"/>
      <c r="H71" s="420"/>
      <c r="I71" s="420"/>
      <c r="J71" s="420"/>
      <c r="K71" s="420"/>
      <c r="L71" s="432"/>
      <c r="M71" s="420"/>
      <c r="N71" s="431"/>
      <c r="O71" s="420"/>
      <c r="P71" s="420"/>
      <c r="Q71" s="420" t="s">
        <v>40</v>
      </c>
      <c r="R71" s="420"/>
      <c r="S71" s="420"/>
      <c r="T71" s="420"/>
      <c r="U71" s="420"/>
      <c r="V71" s="432"/>
      <c r="W71" s="388"/>
      <c r="X71" s="431"/>
      <c r="Y71" s="420"/>
      <c r="Z71" s="420"/>
      <c r="AA71" s="420"/>
      <c r="AB71" s="420"/>
      <c r="AC71" s="420"/>
      <c r="AD71" s="420"/>
      <c r="AE71" s="420"/>
      <c r="AF71" s="432"/>
      <c r="AG71" s="388"/>
      <c r="AH71" s="342"/>
      <c r="AI71" s="342"/>
      <c r="AJ71" s="342"/>
      <c r="AK71" s="342"/>
      <c r="AL71" s="342"/>
      <c r="AM71" s="342"/>
      <c r="AN71" s="342"/>
      <c r="AO71" s="342"/>
      <c r="AP71" s="342"/>
      <c r="AQ71" s="342"/>
      <c r="AR71" s="342"/>
      <c r="AS71" s="342"/>
      <c r="AT71" s="342"/>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row>
    <row r="72" spans="1:120" outlineLevel="1" x14ac:dyDescent="0.25">
      <c r="A72" s="440"/>
      <c r="B72" s="464" t="s">
        <v>7</v>
      </c>
      <c r="C72" s="425"/>
      <c r="D72" s="425"/>
      <c r="E72" s="425"/>
      <c r="F72" s="425"/>
      <c r="G72" s="483"/>
      <c r="H72" s="484"/>
      <c r="I72" s="434"/>
      <c r="J72" s="434"/>
      <c r="K72" s="425"/>
      <c r="L72" s="470"/>
      <c r="M72" s="420"/>
      <c r="N72" s="471"/>
      <c r="O72" s="425"/>
      <c r="P72" s="425"/>
      <c r="Q72" s="425"/>
      <c r="R72" s="433"/>
      <c r="S72" s="433"/>
      <c r="T72" s="433"/>
      <c r="U72" s="420"/>
      <c r="V72" s="432"/>
      <c r="W72" s="388"/>
      <c r="X72" s="431"/>
      <c r="Y72" s="420"/>
      <c r="Z72" s="420"/>
      <c r="AA72" s="420"/>
      <c r="AB72" s="420"/>
      <c r="AC72" s="420"/>
      <c r="AD72" s="420"/>
      <c r="AE72" s="420"/>
      <c r="AF72" s="432"/>
      <c r="AG72" s="388"/>
      <c r="AH72" s="342"/>
      <c r="AI72" s="342"/>
      <c r="AJ72" s="342"/>
      <c r="AK72" s="342"/>
      <c r="AL72" s="342"/>
      <c r="AM72" s="342"/>
      <c r="AN72" s="342"/>
      <c r="AO72" s="342"/>
      <c r="AP72" s="342"/>
      <c r="AQ72" s="342"/>
      <c r="AR72" s="342"/>
      <c r="AS72" s="342"/>
      <c r="AT72" s="342"/>
      <c r="AU72" s="388"/>
      <c r="AV72" s="388"/>
      <c r="AW72" s="388"/>
      <c r="AX72" s="388"/>
      <c r="AY72" s="388"/>
      <c r="AZ72" s="388"/>
      <c r="BA72" s="388"/>
      <c r="BB72" s="388"/>
      <c r="BC72" s="388"/>
      <c r="BD72" s="388"/>
      <c r="BE72" s="388"/>
      <c r="BF72" s="388"/>
      <c r="BG72" s="388"/>
      <c r="BH72" s="388"/>
      <c r="BI72" s="388"/>
      <c r="BJ72" s="388"/>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row>
    <row r="73" spans="1:120" outlineLevel="1" x14ac:dyDescent="0.25">
      <c r="A73" s="440"/>
      <c r="B73" s="472"/>
      <c r="C73" s="425"/>
      <c r="D73" s="425"/>
      <c r="E73" s="425"/>
      <c r="F73" s="425"/>
      <c r="G73" s="473"/>
      <c r="H73" s="427">
        <f>GENERALITES!$D$15</f>
        <v>0</v>
      </c>
      <c r="I73" s="436"/>
      <c r="J73" s="430" t="s">
        <v>2</v>
      </c>
      <c r="K73" s="425"/>
      <c r="L73" s="470"/>
      <c r="M73" s="420"/>
      <c r="N73" s="471"/>
      <c r="O73" s="425"/>
      <c r="P73" s="425"/>
      <c r="Q73" s="425"/>
      <c r="R73" s="475"/>
      <c r="S73" s="475"/>
      <c r="T73" s="475"/>
      <c r="U73" s="420"/>
      <c r="V73" s="432"/>
      <c r="W73" s="388"/>
      <c r="X73" s="431"/>
      <c r="Y73" s="420"/>
      <c r="Z73" s="420"/>
      <c r="AA73" s="420"/>
      <c r="AB73" s="420"/>
      <c r="AC73" s="420"/>
      <c r="AD73" s="420"/>
      <c r="AE73" s="420"/>
      <c r="AF73" s="432"/>
      <c r="AG73" s="388"/>
      <c r="AH73" s="342"/>
      <c r="AI73" s="342"/>
      <c r="AJ73" s="342"/>
      <c r="AK73" s="342"/>
      <c r="AL73" s="342"/>
      <c r="AM73" s="342"/>
      <c r="AN73" s="342"/>
      <c r="AO73" s="342"/>
      <c r="AP73" s="342"/>
      <c r="AQ73" s="342"/>
      <c r="AR73" s="342"/>
      <c r="AS73" s="342"/>
      <c r="AT73" s="342"/>
      <c r="AU73" s="388"/>
      <c r="AV73" s="388"/>
      <c r="AW73" s="388"/>
      <c r="AX73" s="388"/>
      <c r="AY73" s="388"/>
      <c r="AZ73" s="388"/>
      <c r="BA73" s="388"/>
      <c r="BB73" s="388"/>
      <c r="BC73" s="388"/>
      <c r="BD73" s="388"/>
      <c r="BE73" s="388"/>
      <c r="BF73" s="388"/>
      <c r="BG73" s="388"/>
      <c r="BH73" s="388"/>
      <c r="BI73" s="388"/>
      <c r="BJ73" s="388"/>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row>
    <row r="74" spans="1:120" outlineLevel="1" x14ac:dyDescent="0.25">
      <c r="A74" s="440"/>
      <c r="B74" s="472"/>
      <c r="C74" s="425"/>
      <c r="D74" s="425"/>
      <c r="E74" s="425"/>
      <c r="F74" s="425"/>
      <c r="G74" s="473"/>
      <c r="H74" s="427">
        <f>GENERALITES!$D$15</f>
        <v>0</v>
      </c>
      <c r="I74" s="436"/>
      <c r="J74" s="430" t="s">
        <v>2</v>
      </c>
      <c r="K74" s="425"/>
      <c r="L74" s="470"/>
      <c r="M74" s="420"/>
      <c r="N74" s="471"/>
      <c r="O74" s="425"/>
      <c r="P74" s="425"/>
      <c r="Q74" s="425"/>
      <c r="R74" s="433"/>
      <c r="S74" s="433"/>
      <c r="T74" s="433"/>
      <c r="U74" s="420"/>
      <c r="V74" s="432"/>
      <c r="W74" s="388"/>
      <c r="X74" s="431"/>
      <c r="Y74" s="420"/>
      <c r="Z74" s="420"/>
      <c r="AA74" s="420"/>
      <c r="AB74" s="420"/>
      <c r="AC74" s="420"/>
      <c r="AD74" s="420"/>
      <c r="AE74" s="420"/>
      <c r="AF74" s="432"/>
      <c r="AG74" s="388"/>
      <c r="AH74" s="342"/>
      <c r="AI74" s="342"/>
      <c r="AJ74" s="342"/>
      <c r="AK74" s="342"/>
      <c r="AL74" s="342"/>
      <c r="AM74" s="342"/>
      <c r="AN74" s="342"/>
      <c r="AO74" s="342"/>
      <c r="AP74" s="342"/>
      <c r="AQ74" s="342"/>
      <c r="AR74" s="342"/>
      <c r="AS74" s="342"/>
      <c r="AT74" s="342"/>
      <c r="AU74" s="388"/>
      <c r="AV74" s="388"/>
      <c r="AW74" s="388"/>
      <c r="AX74" s="388"/>
      <c r="AY74" s="388"/>
      <c r="AZ74" s="388"/>
      <c r="BA74" s="388"/>
      <c r="BB74" s="388"/>
      <c r="BC74" s="388"/>
      <c r="BD74" s="388"/>
      <c r="BE74" s="388"/>
      <c r="BF74" s="388"/>
      <c r="BG74" s="388"/>
      <c r="BH74" s="388"/>
      <c r="BI74" s="388"/>
      <c r="BJ74" s="388"/>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row>
    <row r="75" spans="1:120" outlineLevel="1" x14ac:dyDescent="0.25">
      <c r="A75" s="440"/>
      <c r="B75" s="472"/>
      <c r="C75" s="425"/>
      <c r="D75" s="425"/>
      <c r="E75" s="425"/>
      <c r="F75" s="425"/>
      <c r="G75" s="473"/>
      <c r="H75" s="427">
        <f>GENERALITES!$D$15</f>
        <v>0</v>
      </c>
      <c r="I75" s="436"/>
      <c r="J75" s="430" t="s">
        <v>2</v>
      </c>
      <c r="K75" s="425"/>
      <c r="L75" s="470"/>
      <c r="M75" s="420"/>
      <c r="N75" s="471"/>
      <c r="O75" s="425"/>
      <c r="P75" s="425"/>
      <c r="Q75" s="425"/>
      <c r="R75" s="433"/>
      <c r="S75" s="433"/>
      <c r="T75" s="433"/>
      <c r="U75" s="420"/>
      <c r="V75" s="439"/>
      <c r="W75" s="476"/>
      <c r="X75" s="431"/>
      <c r="Y75" s="420"/>
      <c r="Z75" s="420"/>
      <c r="AA75" s="420"/>
      <c r="AB75" s="420"/>
      <c r="AC75" s="420"/>
      <c r="AD75" s="420"/>
      <c r="AE75" s="420"/>
      <c r="AF75" s="432"/>
      <c r="AG75" s="388"/>
      <c r="AH75" s="342"/>
      <c r="AI75" s="342"/>
      <c r="AJ75" s="342"/>
      <c r="AK75" s="342"/>
      <c r="AL75" s="342"/>
      <c r="AM75" s="342"/>
      <c r="AN75" s="342"/>
      <c r="AO75" s="342"/>
      <c r="AP75" s="342"/>
      <c r="AQ75" s="342"/>
      <c r="AR75" s="342"/>
      <c r="AS75" s="342"/>
      <c r="AT75" s="342"/>
      <c r="AU75" s="388"/>
      <c r="AV75" s="388"/>
      <c r="AW75" s="388"/>
      <c r="AX75" s="388"/>
      <c r="AY75" s="388"/>
      <c r="AZ75" s="388"/>
      <c r="BA75" s="388"/>
      <c r="BB75" s="388"/>
      <c r="BC75" s="388"/>
      <c r="BD75" s="388"/>
      <c r="BE75" s="388"/>
      <c r="BF75" s="388"/>
      <c r="BG75" s="388"/>
      <c r="BH75" s="388"/>
      <c r="BI75" s="388"/>
      <c r="BJ75" s="388"/>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row>
    <row r="76" spans="1:120" outlineLevel="1" x14ac:dyDescent="0.25">
      <c r="A76" s="440"/>
      <c r="B76" s="472"/>
      <c r="C76" s="425"/>
      <c r="D76" s="425"/>
      <c r="E76" s="425"/>
      <c r="F76" s="425"/>
      <c r="G76" s="473"/>
      <c r="H76" s="427">
        <f>GENERALITES!$D$15</f>
        <v>0</v>
      </c>
      <c r="I76" s="436"/>
      <c r="J76" s="430" t="s">
        <v>2</v>
      </c>
      <c r="K76" s="425"/>
      <c r="L76" s="470"/>
      <c r="M76" s="342"/>
      <c r="N76" s="471"/>
      <c r="O76" s="425"/>
      <c r="P76" s="425"/>
      <c r="Q76" s="425"/>
      <c r="R76" s="433"/>
      <c r="S76" s="433"/>
      <c r="T76" s="433"/>
      <c r="U76" s="420"/>
      <c r="V76" s="439"/>
      <c r="W76" s="476"/>
      <c r="X76" s="431"/>
      <c r="Y76" s="420"/>
      <c r="Z76" s="420"/>
      <c r="AA76" s="420"/>
      <c r="AB76" s="420"/>
      <c r="AC76" s="420"/>
      <c r="AD76" s="420"/>
      <c r="AE76" s="420"/>
      <c r="AF76" s="432"/>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row>
    <row r="77" spans="1:120"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9"/>
      <c r="W77" s="440"/>
      <c r="X77" s="444"/>
      <c r="Y77" s="445"/>
      <c r="Z77" s="445"/>
      <c r="AA77" s="445"/>
      <c r="AB77" s="445"/>
      <c r="AC77" s="445"/>
      <c r="AD77" s="445"/>
      <c r="AE77" s="445"/>
      <c r="AF77" s="446"/>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row>
    <row r="78" spans="1:120" ht="21.75" customHeight="1" thickBot="1" x14ac:dyDescent="0.3">
      <c r="A78" s="440"/>
      <c r="B78" s="480" t="s">
        <v>29</v>
      </c>
      <c r="C78" s="481"/>
      <c r="D78" s="481"/>
      <c r="E78" s="481"/>
      <c r="F78" s="481"/>
      <c r="G78" s="481"/>
      <c r="H78" s="482"/>
      <c r="I78" s="342"/>
      <c r="J78" s="342"/>
      <c r="K78" s="342"/>
      <c r="L78" s="342"/>
      <c r="M78" s="342"/>
      <c r="N78" s="342"/>
      <c r="O78" s="342"/>
      <c r="P78" s="342"/>
      <c r="Q78" s="342"/>
      <c r="R78" s="342"/>
      <c r="S78" s="342"/>
      <c r="T78" s="342"/>
      <c r="U78" s="342"/>
      <c r="V78" s="342"/>
      <c r="W78" s="440"/>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row>
    <row r="79" spans="1:120" outlineLevel="1" x14ac:dyDescent="0.25">
      <c r="B79" s="412"/>
      <c r="C79" s="413"/>
      <c r="D79" s="413"/>
      <c r="E79" s="413"/>
      <c r="F79" s="413"/>
      <c r="G79" s="413"/>
      <c r="H79" s="413"/>
      <c r="I79" s="413"/>
      <c r="J79" s="413"/>
      <c r="K79" s="413"/>
      <c r="L79" s="414"/>
      <c r="N79" s="412"/>
      <c r="O79" s="413"/>
      <c r="P79" s="413"/>
      <c r="Q79" s="413"/>
      <c r="R79" s="413"/>
      <c r="S79" s="413"/>
      <c r="T79" s="413"/>
      <c r="U79" s="413"/>
      <c r="V79" s="414"/>
      <c r="X79" s="342"/>
      <c r="Y79" s="342"/>
      <c r="Z79" s="342"/>
      <c r="AA79" s="342"/>
      <c r="AB79" s="342"/>
      <c r="AC79" s="342"/>
      <c r="AD79" s="342"/>
      <c r="AE79" s="342"/>
      <c r="AF79" s="342"/>
      <c r="AG79" s="342"/>
    </row>
    <row r="80" spans="1:120"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419"/>
      <c r="W80" s="388"/>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row>
    <row r="81" spans="1:120" ht="43.5" customHeight="1" outlineLevel="1" x14ac:dyDescent="0.25">
      <c r="A81" s="440"/>
      <c r="B81" s="464" t="s">
        <v>17</v>
      </c>
      <c r="C81" s="425"/>
      <c r="D81" s="425"/>
      <c r="E81" s="425"/>
      <c r="F81" s="425"/>
      <c r="G81" s="422" t="s">
        <v>130</v>
      </c>
      <c r="H81" s="270"/>
      <c r="I81" s="422" t="s">
        <v>131</v>
      </c>
      <c r="J81" s="447"/>
      <c r="K81" s="447"/>
      <c r="L81" s="401"/>
      <c r="M81" s="420"/>
      <c r="N81" s="402" t="s">
        <v>102</v>
      </c>
      <c r="O81" s="403"/>
      <c r="P81" s="403" t="s">
        <v>167</v>
      </c>
      <c r="Q81" s="403"/>
      <c r="R81" s="422" t="s">
        <v>157</v>
      </c>
      <c r="S81" s="270"/>
      <c r="T81" s="425"/>
      <c r="U81" s="422" t="s">
        <v>158</v>
      </c>
      <c r="V81" s="401"/>
      <c r="W81" s="388"/>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88"/>
      <c r="AV81" s="388"/>
      <c r="AW81" s="388"/>
      <c r="AX81" s="388"/>
      <c r="AY81" s="388"/>
      <c r="AZ81" s="388"/>
      <c r="BA81" s="388"/>
      <c r="BB81" s="388"/>
      <c r="BC81" s="388"/>
      <c r="BD81" s="388"/>
      <c r="BE81" s="388"/>
      <c r="BF81" s="388"/>
      <c r="BG81" s="388"/>
      <c r="BH81" s="388"/>
      <c r="BI81" s="388"/>
      <c r="BJ81" s="388"/>
      <c r="BK81" s="388"/>
      <c r="BL81" s="388"/>
      <c r="BM81" s="388"/>
      <c r="BN81" s="388"/>
      <c r="BO81" s="388"/>
      <c r="BP81" s="388"/>
      <c r="BQ81" s="388"/>
      <c r="BR81" s="388"/>
      <c r="BS81" s="388"/>
      <c r="BT81" s="388"/>
      <c r="BU81" s="388"/>
      <c r="BV81" s="388"/>
      <c r="BW81" s="388"/>
      <c r="BX81" s="388"/>
      <c r="BY81" s="388"/>
      <c r="BZ81" s="388"/>
      <c r="CA81" s="388"/>
      <c r="CB81" s="388"/>
      <c r="CC81" s="388"/>
      <c r="CD81" s="388"/>
      <c r="CE81" s="388"/>
      <c r="CF81" s="388"/>
      <c r="CG81" s="388"/>
      <c r="CH81" s="388"/>
      <c r="CI81" s="388"/>
      <c r="CJ81" s="388"/>
      <c r="CK81" s="388"/>
      <c r="CL81" s="388"/>
      <c r="CM81" s="388"/>
      <c r="CN81" s="388"/>
      <c r="CO81" s="388"/>
      <c r="CP81" s="388"/>
      <c r="CQ81" s="388"/>
      <c r="CR81" s="388"/>
      <c r="CS81" s="388"/>
      <c r="CT81" s="388"/>
      <c r="CU81" s="388"/>
      <c r="CV81" s="388"/>
      <c r="CW81" s="388"/>
      <c r="CX81" s="388"/>
      <c r="CY81" s="388"/>
      <c r="CZ81" s="388"/>
      <c r="DA81" s="388"/>
      <c r="DB81" s="388"/>
      <c r="DC81" s="388"/>
      <c r="DD81" s="388"/>
      <c r="DE81" s="388"/>
      <c r="DF81" s="388"/>
      <c r="DG81" s="388"/>
      <c r="DH81" s="388"/>
      <c r="DI81" s="388"/>
      <c r="DJ81" s="388"/>
      <c r="DK81" s="388"/>
      <c r="DL81" s="388"/>
      <c r="DM81" s="388"/>
      <c r="DN81" s="388"/>
      <c r="DO81" s="388"/>
      <c r="DP81" s="388"/>
    </row>
    <row r="82" spans="1:120" outlineLevel="1" x14ac:dyDescent="0.25">
      <c r="A82" s="440"/>
      <c r="B82" s="435" t="s">
        <v>18</v>
      </c>
      <c r="C82" s="425"/>
      <c r="D82" s="425"/>
      <c r="E82" s="425"/>
      <c r="F82" s="425"/>
      <c r="G82" s="469">
        <v>0</v>
      </c>
      <c r="H82" s="427" t="str">
        <f>GENERALITES!$D$16</f>
        <v>L</v>
      </c>
      <c r="I82" s="485">
        <f>$N$10</f>
        <v>0.50590219224283306</v>
      </c>
      <c r="J82" s="449" t="s">
        <v>2</v>
      </c>
      <c r="K82" s="302">
        <f>IF(B82=Annexes!$B$3,G82*I82/100,SUMPRODUCT(G85:G88,I85:I88/100))</f>
        <v>0</v>
      </c>
      <c r="L82" s="428" t="str">
        <f>GENERALITES!$D$16</f>
        <v>L</v>
      </c>
      <c r="M82" s="420"/>
      <c r="N82" s="437">
        <f>GENERALITES!$D$49</f>
        <v>0.3</v>
      </c>
      <c r="O82" s="427" t="str">
        <f>GENERALITES!$E$49</f>
        <v>€ / L</v>
      </c>
      <c r="P82" s="302">
        <f>IF(B82=Annexes!$B$3,G82*N82,SUM(G85:G88)*N82)</f>
        <v>0</v>
      </c>
      <c r="Q82" s="427" t="s">
        <v>6</v>
      </c>
      <c r="R82" s="302">
        <f>IF($E$10&lt;&gt;0,P82/$E$10,0)</f>
        <v>0</v>
      </c>
      <c r="S82" s="427" t="s">
        <v>72</v>
      </c>
      <c r="T82" s="425"/>
      <c r="U82" s="302">
        <f>IF(B82=Annexes!$B$3,I82/100*P82,IF(SUM(G85:G88)&gt;0,K82/SUM(G85:G88)*P82,0))</f>
        <v>0</v>
      </c>
      <c r="V82" s="428" t="s">
        <v>6</v>
      </c>
      <c r="W82" s="388"/>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c r="CN82" s="388"/>
      <c r="CO82" s="388"/>
      <c r="CP82" s="388"/>
      <c r="CQ82" s="388"/>
      <c r="CR82" s="388"/>
      <c r="CS82" s="388"/>
      <c r="CT82" s="388"/>
      <c r="CU82" s="388"/>
      <c r="CV82" s="388"/>
      <c r="CW82" s="388"/>
      <c r="CX82" s="388"/>
      <c r="CY82" s="388"/>
      <c r="CZ82" s="388"/>
      <c r="DA82" s="388"/>
      <c r="DB82" s="388"/>
      <c r="DC82" s="388"/>
      <c r="DD82" s="388"/>
      <c r="DE82" s="388"/>
      <c r="DF82" s="388"/>
      <c r="DG82" s="388"/>
      <c r="DH82" s="388"/>
      <c r="DI82" s="388"/>
      <c r="DJ82" s="388"/>
      <c r="DK82" s="388"/>
      <c r="DL82" s="388"/>
      <c r="DM82" s="388"/>
      <c r="DN82" s="388"/>
      <c r="DO82" s="388"/>
      <c r="DP82" s="388"/>
    </row>
    <row r="83" spans="1:120" outlineLevel="1" x14ac:dyDescent="0.25">
      <c r="A83" s="440"/>
      <c r="B83" s="431"/>
      <c r="C83" s="425"/>
      <c r="D83" s="425"/>
      <c r="E83" s="425"/>
      <c r="F83" s="425"/>
      <c r="G83" s="420"/>
      <c r="H83" s="420"/>
      <c r="I83" s="420"/>
      <c r="J83" s="420"/>
      <c r="K83" s="420"/>
      <c r="L83" s="432"/>
      <c r="M83" s="420"/>
      <c r="N83" s="431"/>
      <c r="O83" s="420"/>
      <c r="P83" s="420"/>
      <c r="Q83" s="420" t="s">
        <v>40</v>
      </c>
      <c r="R83" s="420"/>
      <c r="S83" s="420"/>
      <c r="T83" s="420"/>
      <c r="U83" s="420"/>
      <c r="V83" s="432"/>
      <c r="W83" s="388"/>
      <c r="X83" s="388"/>
      <c r="Y83" s="388"/>
      <c r="Z83" s="388"/>
      <c r="AA83" s="388"/>
      <c r="AB83" s="388"/>
      <c r="AC83" s="388"/>
      <c r="AD83" s="388"/>
      <c r="AE83" s="388"/>
      <c r="AF83" s="388"/>
      <c r="AG83" s="388"/>
      <c r="AH83" s="342"/>
      <c r="AI83" s="342"/>
      <c r="AJ83" s="342"/>
      <c r="AK83" s="342"/>
      <c r="AL83" s="342"/>
      <c r="AM83" s="342"/>
      <c r="AN83" s="342"/>
      <c r="AO83" s="342"/>
      <c r="AP83" s="342"/>
      <c r="AQ83" s="342"/>
      <c r="AR83" s="342"/>
      <c r="AS83" s="342"/>
      <c r="AT83" s="342"/>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8"/>
      <c r="DE83" s="388"/>
      <c r="DF83" s="388"/>
      <c r="DG83" s="388"/>
      <c r="DH83" s="388"/>
      <c r="DI83" s="388"/>
      <c r="DJ83" s="388"/>
      <c r="DK83" s="388"/>
      <c r="DL83" s="388"/>
      <c r="DM83" s="388"/>
      <c r="DN83" s="388"/>
      <c r="DO83" s="388"/>
      <c r="DP83" s="388"/>
    </row>
    <row r="84" spans="1:120" outlineLevel="1" x14ac:dyDescent="0.25">
      <c r="A84" s="440"/>
      <c r="B84" s="464" t="s">
        <v>7</v>
      </c>
      <c r="C84" s="425"/>
      <c r="D84" s="425"/>
      <c r="E84" s="425"/>
      <c r="F84" s="425"/>
      <c r="G84" s="483"/>
      <c r="H84" s="484"/>
      <c r="I84" s="434"/>
      <c r="J84" s="434"/>
      <c r="K84" s="425"/>
      <c r="L84" s="470"/>
      <c r="M84" s="420"/>
      <c r="N84" s="471"/>
      <c r="O84" s="425"/>
      <c r="P84" s="425"/>
      <c r="Q84" s="425"/>
      <c r="R84" s="433"/>
      <c r="S84" s="433"/>
      <c r="T84" s="433"/>
      <c r="U84" s="420"/>
      <c r="V84" s="432"/>
      <c r="W84" s="388"/>
      <c r="X84" s="388"/>
      <c r="Y84" s="388"/>
      <c r="Z84" s="388"/>
      <c r="AA84" s="388"/>
      <c r="AB84" s="388"/>
      <c r="AC84" s="388"/>
      <c r="AD84" s="388"/>
      <c r="AE84" s="388"/>
      <c r="AF84" s="388"/>
      <c r="AG84" s="388"/>
      <c r="AH84" s="342"/>
      <c r="AI84" s="342"/>
      <c r="AJ84" s="342"/>
      <c r="AK84" s="342"/>
      <c r="AL84" s="342"/>
      <c r="AM84" s="342"/>
      <c r="AN84" s="342"/>
      <c r="AO84" s="342"/>
      <c r="AP84" s="342"/>
      <c r="AQ84" s="342"/>
      <c r="AR84" s="342"/>
      <c r="AS84" s="342"/>
      <c r="AT84" s="342"/>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c r="CK84" s="388"/>
      <c r="CL84" s="388"/>
      <c r="CM84" s="388"/>
      <c r="CN84" s="388"/>
      <c r="CO84" s="388"/>
      <c r="CP84" s="388"/>
      <c r="CQ84" s="388"/>
      <c r="CR84" s="388"/>
      <c r="CS84" s="388"/>
      <c r="CT84" s="388"/>
      <c r="CU84" s="388"/>
      <c r="CV84" s="388"/>
      <c r="CW84" s="388"/>
      <c r="CX84" s="388"/>
      <c r="CY84" s="388"/>
      <c r="CZ84" s="388"/>
      <c r="DA84" s="388"/>
      <c r="DB84" s="388"/>
      <c r="DC84" s="388"/>
      <c r="DD84" s="388"/>
      <c r="DE84" s="388"/>
      <c r="DF84" s="388"/>
      <c r="DG84" s="388"/>
      <c r="DH84" s="388"/>
      <c r="DI84" s="388"/>
      <c r="DJ84" s="388"/>
      <c r="DK84" s="388"/>
      <c r="DL84" s="388"/>
      <c r="DM84" s="388"/>
      <c r="DN84" s="388"/>
      <c r="DO84" s="388"/>
      <c r="DP84" s="388"/>
    </row>
    <row r="85" spans="1:120" outlineLevel="1" x14ac:dyDescent="0.25">
      <c r="A85" s="440"/>
      <c r="B85" s="472"/>
      <c r="C85" s="425"/>
      <c r="D85" s="425"/>
      <c r="E85" s="425"/>
      <c r="F85" s="425"/>
      <c r="G85" s="473"/>
      <c r="H85" s="427" t="str">
        <f>GENERALITES!$D$16</f>
        <v>L</v>
      </c>
      <c r="I85" s="436"/>
      <c r="J85" s="430" t="s">
        <v>2</v>
      </c>
      <c r="K85" s="425"/>
      <c r="L85" s="470"/>
      <c r="M85" s="420"/>
      <c r="N85" s="471"/>
      <c r="O85" s="425"/>
      <c r="P85" s="425"/>
      <c r="Q85" s="425"/>
      <c r="R85" s="475"/>
      <c r="S85" s="475"/>
      <c r="T85" s="475"/>
      <c r="U85" s="420"/>
      <c r="V85" s="432"/>
      <c r="W85" s="388"/>
      <c r="X85" s="388"/>
      <c r="Y85" s="388"/>
      <c r="Z85" s="388"/>
      <c r="AA85" s="388"/>
      <c r="AB85" s="388"/>
      <c r="AC85" s="388"/>
      <c r="AD85" s="388"/>
      <c r="AE85" s="388"/>
      <c r="AF85" s="388"/>
      <c r="AG85" s="388"/>
      <c r="AH85" s="342"/>
      <c r="AI85" s="342"/>
      <c r="AJ85" s="342"/>
      <c r="AK85" s="342"/>
      <c r="AL85" s="342"/>
      <c r="AM85" s="342"/>
      <c r="AN85" s="342"/>
      <c r="AO85" s="342"/>
      <c r="AP85" s="342"/>
      <c r="AQ85" s="342"/>
      <c r="AR85" s="342"/>
      <c r="AS85" s="342"/>
      <c r="AT85" s="342"/>
      <c r="AU85" s="388"/>
      <c r="AV85" s="388"/>
      <c r="AW85" s="388"/>
      <c r="AX85" s="388"/>
      <c r="AY85" s="388"/>
      <c r="AZ85" s="388"/>
      <c r="BA85" s="388"/>
      <c r="BB85" s="388"/>
      <c r="BC85" s="388"/>
      <c r="BD85" s="388"/>
      <c r="BE85" s="388"/>
      <c r="BF85" s="388"/>
      <c r="BG85" s="388"/>
      <c r="BH85" s="388"/>
      <c r="BI85" s="388"/>
      <c r="BJ85" s="388"/>
      <c r="BK85" s="388"/>
      <c r="BL85" s="388"/>
      <c r="BM85" s="388"/>
      <c r="BN85" s="388"/>
      <c r="BO85" s="388"/>
      <c r="BP85" s="388"/>
      <c r="BQ85" s="388"/>
      <c r="BR85" s="388"/>
      <c r="BS85" s="388"/>
      <c r="BT85" s="388"/>
      <c r="BU85" s="388"/>
      <c r="BV85" s="388"/>
      <c r="BW85" s="388"/>
      <c r="BX85" s="388"/>
      <c r="BY85" s="388"/>
      <c r="BZ85" s="388"/>
      <c r="CA85" s="388"/>
      <c r="CB85" s="388"/>
      <c r="CC85" s="388"/>
      <c r="CD85" s="388"/>
      <c r="CE85" s="388"/>
      <c r="CF85" s="388"/>
      <c r="CG85" s="388"/>
      <c r="CH85" s="388"/>
      <c r="CI85" s="388"/>
      <c r="CJ85" s="388"/>
      <c r="CK85" s="388"/>
      <c r="CL85" s="388"/>
      <c r="CM85" s="388"/>
      <c r="CN85" s="388"/>
      <c r="CO85" s="388"/>
      <c r="CP85" s="388"/>
      <c r="CQ85" s="388"/>
      <c r="CR85" s="388"/>
      <c r="CS85" s="388"/>
      <c r="CT85" s="388"/>
      <c r="CU85" s="388"/>
      <c r="CV85" s="388"/>
      <c r="CW85" s="388"/>
      <c r="CX85" s="388"/>
      <c r="CY85" s="388"/>
      <c r="CZ85" s="388"/>
      <c r="DA85" s="388"/>
      <c r="DB85" s="388"/>
      <c r="DC85" s="388"/>
      <c r="DD85" s="388"/>
      <c r="DE85" s="388"/>
      <c r="DF85" s="388"/>
      <c r="DG85" s="388"/>
      <c r="DH85" s="388"/>
      <c r="DI85" s="388"/>
      <c r="DJ85" s="388"/>
      <c r="DK85" s="388"/>
      <c r="DL85" s="388"/>
      <c r="DM85" s="388"/>
      <c r="DN85" s="388"/>
      <c r="DO85" s="388"/>
      <c r="DP85" s="388"/>
    </row>
    <row r="86" spans="1:120" outlineLevel="1" x14ac:dyDescent="0.25">
      <c r="A86" s="440"/>
      <c r="B86" s="472"/>
      <c r="C86" s="425"/>
      <c r="D86" s="425"/>
      <c r="E86" s="425"/>
      <c r="F86" s="425"/>
      <c r="G86" s="473"/>
      <c r="H86" s="427" t="str">
        <f>GENERALITES!$D$16</f>
        <v>L</v>
      </c>
      <c r="I86" s="436"/>
      <c r="J86" s="430" t="s">
        <v>2</v>
      </c>
      <c r="K86" s="425"/>
      <c r="L86" s="470"/>
      <c r="M86" s="420"/>
      <c r="N86" s="471"/>
      <c r="O86" s="425"/>
      <c r="P86" s="425"/>
      <c r="Q86" s="425"/>
      <c r="R86" s="433"/>
      <c r="S86" s="433"/>
      <c r="T86" s="433"/>
      <c r="U86" s="420"/>
      <c r="V86" s="432"/>
      <c r="W86" s="388"/>
      <c r="X86" s="388"/>
      <c r="Y86" s="388"/>
      <c r="Z86" s="388"/>
      <c r="AA86" s="388"/>
      <c r="AB86" s="388"/>
      <c r="AC86" s="388"/>
      <c r="AD86" s="388"/>
      <c r="AE86" s="388"/>
      <c r="AF86" s="388"/>
      <c r="AG86" s="388"/>
      <c r="AH86" s="342"/>
      <c r="AI86" s="342"/>
      <c r="AJ86" s="342"/>
      <c r="AK86" s="342"/>
      <c r="AL86" s="342"/>
      <c r="AM86" s="342"/>
      <c r="AN86" s="342"/>
      <c r="AO86" s="342"/>
      <c r="AP86" s="342"/>
      <c r="AQ86" s="342"/>
      <c r="AR86" s="342"/>
      <c r="AS86" s="342"/>
      <c r="AT86" s="342"/>
      <c r="AU86" s="388"/>
      <c r="AV86" s="388"/>
      <c r="AW86" s="388"/>
      <c r="AX86" s="388"/>
      <c r="AY86" s="388"/>
      <c r="AZ86" s="388"/>
      <c r="BA86" s="388"/>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c r="CA86" s="388"/>
      <c r="CB86" s="388"/>
      <c r="CC86" s="388"/>
      <c r="CD86" s="388"/>
      <c r="CE86" s="388"/>
      <c r="CF86" s="388"/>
      <c r="CG86" s="388"/>
      <c r="CH86" s="388"/>
      <c r="CI86" s="388"/>
      <c r="CJ86" s="388"/>
      <c r="CK86" s="388"/>
      <c r="CL86" s="388"/>
      <c r="CM86" s="388"/>
      <c r="CN86" s="388"/>
      <c r="CO86" s="388"/>
      <c r="CP86" s="388"/>
      <c r="CQ86" s="388"/>
      <c r="CR86" s="388"/>
      <c r="CS86" s="388"/>
      <c r="CT86" s="388"/>
      <c r="CU86" s="388"/>
      <c r="CV86" s="388"/>
      <c r="CW86" s="388"/>
      <c r="CX86" s="388"/>
      <c r="CY86" s="388"/>
      <c r="CZ86" s="388"/>
      <c r="DA86" s="388"/>
      <c r="DB86" s="388"/>
      <c r="DC86" s="388"/>
      <c r="DD86" s="388"/>
      <c r="DE86" s="388"/>
      <c r="DF86" s="388"/>
      <c r="DG86" s="388"/>
      <c r="DH86" s="388"/>
      <c r="DI86" s="388"/>
      <c r="DJ86" s="388"/>
      <c r="DK86" s="388"/>
      <c r="DL86" s="388"/>
      <c r="DM86" s="388"/>
      <c r="DN86" s="388"/>
      <c r="DO86" s="388"/>
      <c r="DP86" s="388"/>
    </row>
    <row r="87" spans="1:120" outlineLevel="1" x14ac:dyDescent="0.25">
      <c r="A87" s="440"/>
      <c r="B87" s="472"/>
      <c r="C87" s="425"/>
      <c r="D87" s="425"/>
      <c r="E87" s="425"/>
      <c r="F87" s="425"/>
      <c r="G87" s="473"/>
      <c r="H87" s="427" t="str">
        <f>GENERALITES!$D$16</f>
        <v>L</v>
      </c>
      <c r="I87" s="436"/>
      <c r="J87" s="430" t="s">
        <v>2</v>
      </c>
      <c r="K87" s="425"/>
      <c r="L87" s="470"/>
      <c r="M87" s="420"/>
      <c r="N87" s="471"/>
      <c r="O87" s="425"/>
      <c r="P87" s="425"/>
      <c r="Q87" s="425"/>
      <c r="R87" s="433"/>
      <c r="S87" s="433"/>
      <c r="T87" s="433"/>
      <c r="U87" s="420"/>
      <c r="V87" s="439"/>
      <c r="W87" s="476"/>
      <c r="X87" s="388"/>
      <c r="Y87" s="388"/>
      <c r="Z87" s="388"/>
      <c r="AA87" s="388"/>
      <c r="AB87" s="388"/>
      <c r="AC87" s="388"/>
      <c r="AD87" s="388"/>
      <c r="AE87" s="388"/>
      <c r="AF87" s="388"/>
      <c r="AG87" s="388"/>
      <c r="AH87" s="342"/>
      <c r="AI87" s="342"/>
      <c r="AJ87" s="342"/>
      <c r="AK87" s="342"/>
      <c r="AL87" s="342"/>
      <c r="AM87" s="342"/>
      <c r="AN87" s="342"/>
      <c r="AO87" s="342"/>
      <c r="AP87" s="342"/>
      <c r="AQ87" s="342"/>
      <c r="AR87" s="342"/>
      <c r="AS87" s="342"/>
      <c r="AT87" s="342"/>
      <c r="AU87" s="388"/>
      <c r="AV87" s="388"/>
      <c r="AW87" s="388"/>
      <c r="AX87" s="388"/>
      <c r="AY87" s="388"/>
      <c r="AZ87" s="388"/>
      <c r="BA87" s="388"/>
      <c r="BB87" s="388"/>
      <c r="BC87" s="388"/>
      <c r="BD87" s="388"/>
      <c r="BE87" s="388"/>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388"/>
      <c r="CB87" s="388"/>
      <c r="CC87" s="388"/>
      <c r="CD87" s="388"/>
      <c r="CE87" s="388"/>
      <c r="CF87" s="388"/>
      <c r="CG87" s="388"/>
      <c r="CH87" s="388"/>
      <c r="CI87" s="388"/>
      <c r="CJ87" s="388"/>
      <c r="CK87" s="388"/>
      <c r="CL87" s="388"/>
      <c r="CM87" s="388"/>
      <c r="CN87" s="388"/>
      <c r="CO87" s="388"/>
      <c r="CP87" s="388"/>
      <c r="CQ87" s="388"/>
      <c r="CR87" s="388"/>
      <c r="CS87" s="388"/>
      <c r="CT87" s="388"/>
      <c r="CU87" s="388"/>
      <c r="CV87" s="388"/>
      <c r="CW87" s="388"/>
      <c r="CX87" s="388"/>
      <c r="CY87" s="388"/>
      <c r="CZ87" s="388"/>
      <c r="DA87" s="388"/>
      <c r="DB87" s="388"/>
      <c r="DC87" s="388"/>
      <c r="DD87" s="388"/>
      <c r="DE87" s="388"/>
      <c r="DF87" s="388"/>
      <c r="DG87" s="388"/>
      <c r="DH87" s="388"/>
      <c r="DI87" s="388"/>
      <c r="DJ87" s="388"/>
      <c r="DK87" s="388"/>
      <c r="DL87" s="388"/>
      <c r="DM87" s="388"/>
      <c r="DN87" s="388"/>
      <c r="DO87" s="388"/>
      <c r="DP87" s="388"/>
    </row>
    <row r="88" spans="1:120" outlineLevel="1" x14ac:dyDescent="0.25">
      <c r="A88" s="440"/>
      <c r="B88" s="472"/>
      <c r="C88" s="425"/>
      <c r="D88" s="425"/>
      <c r="E88" s="425"/>
      <c r="F88" s="425"/>
      <c r="G88" s="473"/>
      <c r="H88" s="427" t="str">
        <f>GENERALITES!$D$16</f>
        <v>L</v>
      </c>
      <c r="I88" s="436"/>
      <c r="J88" s="430" t="s">
        <v>2</v>
      </c>
      <c r="K88" s="425"/>
      <c r="L88" s="470"/>
      <c r="M88" s="342"/>
      <c r="N88" s="471"/>
      <c r="O88" s="425"/>
      <c r="P88" s="425"/>
      <c r="Q88" s="425"/>
      <c r="R88" s="433"/>
      <c r="S88" s="433"/>
      <c r="T88" s="433"/>
      <c r="U88" s="420"/>
      <c r="V88" s="439"/>
      <c r="W88" s="476"/>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388"/>
      <c r="BJ88" s="388"/>
      <c r="BK88" s="388"/>
      <c r="BL88" s="388"/>
      <c r="BM88" s="388"/>
      <c r="BN88" s="388"/>
      <c r="BO88" s="388"/>
      <c r="BP88" s="388"/>
      <c r="BQ88" s="388"/>
      <c r="BR88" s="388"/>
      <c r="BS88" s="388"/>
      <c r="BT88" s="388"/>
      <c r="BU88" s="388"/>
      <c r="BV88" s="388"/>
      <c r="BW88" s="388"/>
      <c r="BX88" s="388"/>
      <c r="BY88" s="388"/>
      <c r="BZ88" s="388"/>
      <c r="CA88" s="388"/>
      <c r="CB88" s="388"/>
      <c r="CC88" s="388"/>
      <c r="CD88" s="388"/>
      <c r="CE88" s="388"/>
      <c r="CF88" s="388"/>
      <c r="CG88" s="388"/>
      <c r="CH88" s="388"/>
      <c r="CI88" s="388"/>
      <c r="CJ88" s="388"/>
      <c r="CK88" s="388"/>
      <c r="CL88" s="388"/>
      <c r="CM88" s="388"/>
      <c r="CN88" s="388"/>
      <c r="CO88" s="388"/>
      <c r="CP88" s="388"/>
      <c r="CQ88" s="388"/>
      <c r="CR88" s="388"/>
      <c r="CS88" s="388"/>
      <c r="CT88" s="388"/>
      <c r="CU88" s="388"/>
      <c r="CV88" s="388"/>
      <c r="CW88" s="388"/>
      <c r="CX88" s="388"/>
      <c r="CY88" s="388"/>
      <c r="CZ88" s="388"/>
      <c r="DA88" s="388"/>
      <c r="DB88" s="388"/>
      <c r="DC88" s="388"/>
      <c r="DD88" s="388"/>
      <c r="DE88" s="388"/>
      <c r="DF88" s="388"/>
      <c r="DG88" s="388"/>
      <c r="DH88" s="388"/>
      <c r="DI88" s="388"/>
      <c r="DJ88" s="388"/>
      <c r="DK88" s="388"/>
      <c r="DL88" s="388"/>
      <c r="DM88" s="388"/>
      <c r="DN88" s="388"/>
      <c r="DO88" s="388"/>
      <c r="DP88" s="388"/>
    </row>
    <row r="89" spans="1:120" ht="15.75" thickBot="1" x14ac:dyDescent="0.3">
      <c r="A89" s="440"/>
      <c r="B89" s="441"/>
      <c r="C89" s="442"/>
      <c r="D89" s="442"/>
      <c r="E89" s="442"/>
      <c r="F89" s="442"/>
      <c r="G89" s="442"/>
      <c r="H89" s="442"/>
      <c r="I89" s="442"/>
      <c r="J89" s="442"/>
      <c r="K89" s="442"/>
      <c r="L89" s="443"/>
      <c r="M89" s="440"/>
      <c r="N89" s="441"/>
      <c r="O89" s="442"/>
      <c r="P89" s="442"/>
      <c r="Q89" s="442"/>
      <c r="R89" s="442"/>
      <c r="S89" s="442"/>
      <c r="T89" s="442"/>
      <c r="U89" s="442"/>
      <c r="V89" s="443"/>
      <c r="W89" s="440"/>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row>
    <row r="90" spans="1:120" ht="30" customHeight="1" thickBot="1" x14ac:dyDescent="0.3">
      <c r="A90" s="388"/>
      <c r="B90" s="394" t="s">
        <v>65</v>
      </c>
      <c r="C90" s="395"/>
      <c r="D90" s="395"/>
      <c r="E90" s="395"/>
      <c r="F90" s="395"/>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7"/>
      <c r="AG90" s="342"/>
      <c r="AH90" s="342"/>
      <c r="AI90" s="342"/>
      <c r="AJ90" s="342"/>
      <c r="AK90" s="342"/>
      <c r="AL90" s="342"/>
      <c r="AM90" s="342"/>
      <c r="AN90" s="342"/>
      <c r="AO90" s="342"/>
      <c r="AP90" s="342"/>
      <c r="AQ90" s="342"/>
      <c r="AR90" s="342"/>
      <c r="AS90" s="342"/>
      <c r="AT90" s="342"/>
      <c r="AU90" s="342"/>
      <c r="AV90" s="342"/>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row>
    <row r="91" spans="1:120" outlineLevel="1" x14ac:dyDescent="0.25">
      <c r="B91" s="412"/>
      <c r="C91" s="413"/>
      <c r="D91" s="413"/>
      <c r="E91" s="413"/>
      <c r="F91" s="413"/>
      <c r="G91" s="413"/>
      <c r="H91" s="413"/>
      <c r="I91" s="413"/>
      <c r="J91" s="413"/>
      <c r="K91" s="413"/>
      <c r="L91" s="414"/>
      <c r="N91" s="412"/>
      <c r="O91" s="413"/>
      <c r="P91" s="413"/>
      <c r="Q91" s="413"/>
      <c r="R91" s="413"/>
      <c r="S91" s="413"/>
      <c r="T91" s="413"/>
      <c r="U91" s="413"/>
      <c r="V91" s="414"/>
    </row>
    <row r="92" spans="1:120"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419"/>
      <c r="W92" s="388"/>
      <c r="X92" s="342"/>
      <c r="Y92" s="342"/>
      <c r="Z92" s="342"/>
      <c r="AA92" s="342"/>
      <c r="AB92" s="342"/>
      <c r="AC92" s="342"/>
      <c r="AD92" s="342"/>
      <c r="AE92" s="342"/>
      <c r="AF92" s="342"/>
      <c r="AH92" s="342"/>
      <c r="AI92" s="342"/>
      <c r="AJ92" s="342"/>
      <c r="AK92" s="342"/>
      <c r="AL92" s="342"/>
      <c r="AM92" s="342"/>
    </row>
    <row r="93" spans="1:120" ht="43.5" customHeight="1" outlineLevel="1" x14ac:dyDescent="0.25">
      <c r="B93" s="486" t="s">
        <v>17</v>
      </c>
      <c r="C93" s="425"/>
      <c r="D93" s="425"/>
      <c r="E93" s="425"/>
      <c r="F93" s="425"/>
      <c r="G93" s="467" t="s">
        <v>132</v>
      </c>
      <c r="H93" s="467"/>
      <c r="I93" s="422" t="s">
        <v>133</v>
      </c>
      <c r="J93" s="447"/>
      <c r="K93" s="447"/>
      <c r="L93" s="401"/>
      <c r="M93" s="342"/>
      <c r="N93" s="426" t="s">
        <v>39</v>
      </c>
      <c r="O93" s="467"/>
      <c r="P93" s="467" t="s">
        <v>168</v>
      </c>
      <c r="Q93" s="467"/>
      <c r="R93" s="422" t="s">
        <v>159</v>
      </c>
      <c r="S93" s="270"/>
      <c r="T93" s="425"/>
      <c r="U93" s="467" t="s">
        <v>160</v>
      </c>
      <c r="V93" s="468"/>
      <c r="W93" s="388"/>
      <c r="X93" s="388"/>
      <c r="Y93" s="388"/>
      <c r="Z93" s="388"/>
      <c r="AA93" s="388"/>
      <c r="AB93" s="388"/>
      <c r="AC93" s="388"/>
      <c r="AD93" s="388"/>
      <c r="AE93" s="388"/>
      <c r="AF93" s="388"/>
      <c r="AH93" s="342"/>
      <c r="AI93" s="342"/>
      <c r="AJ93" s="342"/>
      <c r="AK93" s="342"/>
      <c r="AL93" s="342"/>
      <c r="AM93" s="342"/>
    </row>
    <row r="94" spans="1:120" outlineLevel="1" x14ac:dyDescent="0.25">
      <c r="B94" s="435" t="s">
        <v>18</v>
      </c>
      <c r="C94" s="425"/>
      <c r="D94" s="425"/>
      <c r="E94" s="425"/>
      <c r="F94" s="425"/>
      <c r="G94" s="469">
        <v>0.2</v>
      </c>
      <c r="H94" s="427" t="s">
        <v>3</v>
      </c>
      <c r="I94" s="485">
        <f>$N$10</f>
        <v>0.50590219224283306</v>
      </c>
      <c r="J94" s="449" t="s">
        <v>2</v>
      </c>
      <c r="K94" s="302">
        <f>IF(B94=Annexes!$B$3,G94*I94/100,SUMPRODUCT(G97:G100,I97:I100/100))</f>
        <v>1.0118043844856662E-3</v>
      </c>
      <c r="L94" s="428" t="s">
        <v>3</v>
      </c>
      <c r="M94" s="342"/>
      <c r="N94" s="437">
        <f>GENERALITES!$G$53</f>
        <v>47500</v>
      </c>
      <c r="O94" s="427" t="s">
        <v>11</v>
      </c>
      <c r="P94" s="302">
        <f>IF(B94=Annexes!$B$3,G94*N94,SUM(G97:G100)*N94)</f>
        <v>9500</v>
      </c>
      <c r="Q94" s="427" t="s">
        <v>6</v>
      </c>
      <c r="R94" s="302">
        <f>IF($E$10&lt;&gt;0,P94/$E$10,0)</f>
        <v>400.50590219224279</v>
      </c>
      <c r="S94" s="427" t="s">
        <v>72</v>
      </c>
      <c r="T94" s="425"/>
      <c r="U94" s="302">
        <f>IF(B94=Annexes!$B$3,I94/100*P94,IF(SUM(G97:G100)&gt;0,K94/SUM(G97:G100)*P94,0))</f>
        <v>48.060708263069138</v>
      </c>
      <c r="V94" s="428" t="s">
        <v>6</v>
      </c>
      <c r="W94" s="388"/>
      <c r="X94" s="388"/>
      <c r="Y94" s="388"/>
      <c r="Z94" s="388"/>
      <c r="AA94" s="388"/>
      <c r="AB94" s="388"/>
      <c r="AC94" s="388"/>
      <c r="AD94" s="388"/>
      <c r="AE94" s="388"/>
      <c r="AF94" s="388"/>
      <c r="AH94" s="342"/>
      <c r="AI94" s="342"/>
      <c r="AJ94" s="342"/>
      <c r="AK94" s="342"/>
      <c r="AL94" s="342"/>
      <c r="AM94" s="342"/>
    </row>
    <row r="95" spans="1:120"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32"/>
      <c r="W95" s="388"/>
      <c r="X95" s="388"/>
      <c r="Y95" s="388"/>
      <c r="Z95" s="388"/>
      <c r="AA95" s="388"/>
      <c r="AB95" s="388"/>
      <c r="AC95" s="388"/>
      <c r="AD95" s="388"/>
      <c r="AE95" s="388"/>
      <c r="AF95" s="388"/>
      <c r="AG95" s="342"/>
      <c r="AH95" s="342"/>
      <c r="AI95" s="342"/>
      <c r="AJ95" s="342"/>
      <c r="AK95" s="342"/>
      <c r="AL95" s="342"/>
      <c r="AM95" s="342"/>
      <c r="AN95" s="342"/>
      <c r="AO95" s="342"/>
      <c r="AP95" s="342"/>
      <c r="AQ95" s="342"/>
      <c r="AR95" s="342"/>
      <c r="AS95" s="342"/>
      <c r="AT95" s="342"/>
      <c r="AU95" s="342"/>
      <c r="AV95" s="342"/>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row>
    <row r="96" spans="1:120"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32"/>
      <c r="W96" s="388"/>
      <c r="X96" s="388"/>
      <c r="Y96" s="388"/>
      <c r="Z96" s="388"/>
      <c r="AA96" s="388"/>
      <c r="AB96" s="388"/>
      <c r="AC96" s="388"/>
      <c r="AD96" s="388"/>
      <c r="AE96" s="388"/>
      <c r="AF96" s="388"/>
    </row>
    <row r="97" spans="1:120"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c r="V97" s="432"/>
      <c r="W97" s="388"/>
      <c r="X97" s="388"/>
      <c r="Y97" s="388"/>
      <c r="Z97" s="388"/>
      <c r="AA97" s="388"/>
      <c r="AB97" s="388"/>
      <c r="AC97" s="388"/>
      <c r="AD97" s="388"/>
      <c r="AE97" s="388"/>
      <c r="AF97" s="388"/>
    </row>
    <row r="98" spans="1:120"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32"/>
      <c r="W98" s="388"/>
      <c r="X98" s="388"/>
      <c r="Y98" s="388"/>
      <c r="Z98" s="388"/>
      <c r="AA98" s="388"/>
      <c r="AB98" s="388"/>
      <c r="AC98" s="388"/>
      <c r="AD98" s="388"/>
      <c r="AE98" s="388"/>
      <c r="AF98" s="388"/>
    </row>
    <row r="99" spans="1:120"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32"/>
      <c r="W99" s="388"/>
      <c r="X99" s="388"/>
      <c r="Y99" s="388"/>
      <c r="Z99" s="388"/>
      <c r="AA99" s="388"/>
      <c r="AB99" s="388"/>
      <c r="AC99" s="388"/>
      <c r="AD99" s="388"/>
      <c r="AE99" s="388"/>
      <c r="AF99" s="388"/>
    </row>
    <row r="100" spans="1:120"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32"/>
      <c r="W100" s="388"/>
      <c r="X100" s="388"/>
      <c r="Y100" s="388"/>
      <c r="Z100" s="388"/>
      <c r="AA100" s="388"/>
      <c r="AB100" s="388"/>
      <c r="AC100" s="388"/>
      <c r="AD100" s="388"/>
      <c r="AE100" s="388"/>
      <c r="AF100" s="388"/>
    </row>
    <row r="101" spans="1:120" ht="15.75" thickBot="1" x14ac:dyDescent="0.3">
      <c r="B101" s="487"/>
      <c r="C101" s="434"/>
      <c r="D101" s="434"/>
      <c r="E101" s="434"/>
      <c r="F101" s="434"/>
      <c r="G101" s="434"/>
      <c r="H101" s="434"/>
      <c r="I101" s="434"/>
      <c r="J101" s="434"/>
      <c r="K101" s="434"/>
      <c r="L101" s="451"/>
      <c r="N101" s="487"/>
      <c r="O101" s="434"/>
      <c r="P101" s="434"/>
      <c r="Q101" s="434"/>
      <c r="R101" s="434"/>
      <c r="S101" s="434"/>
      <c r="T101" s="434"/>
      <c r="U101" s="434"/>
      <c r="V101" s="451"/>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row>
    <row r="102" spans="1:120" ht="30" customHeight="1" thickBot="1" x14ac:dyDescent="0.3">
      <c r="B102" s="394" t="s">
        <v>512</v>
      </c>
      <c r="C102" s="395"/>
      <c r="D102" s="395"/>
      <c r="E102" s="395"/>
      <c r="F102" s="395"/>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7"/>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B102" s="388"/>
      <c r="CC102" s="388"/>
      <c r="CD102" s="388"/>
      <c r="CE102" s="388"/>
      <c r="CF102" s="388"/>
      <c r="CG102" s="388"/>
      <c r="CH102" s="388"/>
      <c r="CI102" s="388"/>
      <c r="CJ102" s="388"/>
      <c r="CK102" s="388"/>
      <c r="CL102" s="388"/>
      <c r="CM102" s="388"/>
      <c r="CN102" s="388"/>
      <c r="CO102" s="388"/>
      <c r="CP102" s="388"/>
      <c r="CQ102" s="388"/>
      <c r="CR102" s="388"/>
      <c r="CS102" s="388"/>
      <c r="CT102" s="388"/>
      <c r="CU102" s="388"/>
      <c r="CV102" s="388"/>
      <c r="CW102" s="388"/>
      <c r="CX102" s="388"/>
      <c r="CY102" s="388"/>
      <c r="CZ102" s="388"/>
      <c r="DA102" s="388"/>
      <c r="DB102" s="388"/>
      <c r="DC102" s="388"/>
      <c r="DD102" s="388"/>
      <c r="DE102" s="388"/>
      <c r="DF102" s="388"/>
      <c r="DG102" s="388"/>
      <c r="DH102" s="388"/>
      <c r="DI102" s="388"/>
      <c r="DJ102" s="388"/>
      <c r="DK102" s="388"/>
      <c r="DL102" s="388"/>
      <c r="DM102" s="388"/>
      <c r="DN102" s="388"/>
      <c r="DO102" s="388"/>
      <c r="DP102" s="388"/>
    </row>
    <row r="103" spans="1:120"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4"/>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row>
    <row r="104" spans="1:120"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419"/>
      <c r="W104" s="388"/>
      <c r="X104" s="342"/>
      <c r="Y104" s="342"/>
      <c r="Z104" s="342"/>
      <c r="AA104" s="342"/>
      <c r="AB104" s="342"/>
      <c r="AC104" s="342"/>
      <c r="AD104" s="342"/>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20" ht="45" customHeight="1" outlineLevel="1" x14ac:dyDescent="0.25">
      <c r="B105" s="471"/>
      <c r="C105" s="425"/>
      <c r="D105" s="425"/>
      <c r="E105" s="425"/>
      <c r="F105" s="425"/>
      <c r="G105" s="488" t="s">
        <v>602</v>
      </c>
      <c r="H105" s="488"/>
      <c r="I105" s="422" t="s">
        <v>613</v>
      </c>
      <c r="J105" s="447"/>
      <c r="K105" s="447"/>
      <c r="L105" s="401"/>
      <c r="M105" s="342"/>
      <c r="N105" s="465" t="s">
        <v>601</v>
      </c>
      <c r="O105" s="466"/>
      <c r="P105" s="425"/>
      <c r="Q105" s="425"/>
      <c r="R105" s="425"/>
      <c r="S105" s="425"/>
      <c r="T105" s="425"/>
      <c r="U105" s="489" t="s">
        <v>518</v>
      </c>
      <c r="V105" s="490"/>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20" outlineLevel="1" x14ac:dyDescent="0.25">
      <c r="B106" s="471"/>
      <c r="C106" s="425"/>
      <c r="D106" s="425"/>
      <c r="E106" s="425"/>
      <c r="F106" s="425"/>
      <c r="G106" s="302">
        <f>$G$16+$K$31</f>
        <v>0.13</v>
      </c>
      <c r="H106" s="427" t="s">
        <v>1</v>
      </c>
      <c r="I106" s="436">
        <v>100</v>
      </c>
      <c r="J106" s="449" t="s">
        <v>2</v>
      </c>
      <c r="K106" s="302">
        <f>G106*I106/100</f>
        <v>0.13</v>
      </c>
      <c r="L106" s="428" t="s">
        <v>1</v>
      </c>
      <c r="M106" s="342"/>
      <c r="N106" s="437">
        <f>GENERALITES!$M$63</f>
        <v>350</v>
      </c>
      <c r="O106" s="427" t="s">
        <v>0</v>
      </c>
      <c r="P106" s="425"/>
      <c r="Q106" s="425"/>
      <c r="R106" s="425"/>
      <c r="S106" s="425"/>
      <c r="T106" s="425"/>
      <c r="U106" s="302">
        <f>K106*N106</f>
        <v>45.5</v>
      </c>
      <c r="V106" s="428" t="s">
        <v>6</v>
      </c>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20" ht="15.75" thickBot="1" x14ac:dyDescent="0.3">
      <c r="B107" s="487"/>
      <c r="C107" s="434"/>
      <c r="D107" s="434"/>
      <c r="E107" s="434"/>
      <c r="F107" s="434"/>
      <c r="G107" s="434"/>
      <c r="H107" s="434"/>
      <c r="I107" s="434"/>
      <c r="J107" s="434"/>
      <c r="K107" s="434"/>
      <c r="L107" s="451"/>
      <c r="N107" s="487"/>
      <c r="O107" s="434"/>
      <c r="P107" s="434"/>
      <c r="Q107" s="434"/>
      <c r="R107" s="434"/>
      <c r="S107" s="434"/>
      <c r="T107" s="434"/>
      <c r="U107" s="434"/>
      <c r="V107" s="451"/>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row>
    <row r="108" spans="1:120" ht="30" customHeight="1" thickBot="1" x14ac:dyDescent="0.3">
      <c r="A108" s="388"/>
      <c r="B108" s="394" t="s">
        <v>513</v>
      </c>
      <c r="C108" s="395"/>
      <c r="D108" s="395"/>
      <c r="E108" s="395"/>
      <c r="F108" s="395"/>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7"/>
      <c r="AG108" s="342"/>
      <c r="AH108" s="342"/>
      <c r="AI108" s="342"/>
      <c r="AJ108" s="342"/>
      <c r="AK108" s="342"/>
      <c r="AL108" s="342"/>
      <c r="AM108" s="342"/>
      <c r="AN108" s="342"/>
      <c r="AO108" s="342"/>
      <c r="AP108" s="342"/>
      <c r="AQ108" s="342"/>
      <c r="AR108" s="342"/>
      <c r="AS108" s="342"/>
      <c r="AT108" s="342"/>
      <c r="AU108" s="342"/>
      <c r="AV108" s="342"/>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row>
    <row r="109" spans="1:120"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4"/>
      <c r="X109" s="412"/>
      <c r="Y109" s="413"/>
      <c r="Z109" s="413"/>
      <c r="AA109" s="413"/>
      <c r="AB109" s="413"/>
      <c r="AC109" s="413"/>
      <c r="AD109" s="413"/>
      <c r="AE109" s="413"/>
      <c r="AF109" s="414"/>
    </row>
    <row r="110" spans="1:120"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419"/>
      <c r="W110" s="388"/>
      <c r="X110" s="418" t="s">
        <v>52</v>
      </c>
      <c r="Y110" s="289"/>
      <c r="Z110" s="289"/>
      <c r="AA110" s="289"/>
      <c r="AB110" s="289"/>
      <c r="AC110" s="289"/>
      <c r="AD110" s="289"/>
      <c r="AE110" s="289"/>
      <c r="AF110" s="419"/>
      <c r="AH110" s="342"/>
      <c r="AI110" s="342"/>
      <c r="AJ110" s="342"/>
      <c r="AK110" s="342"/>
      <c r="AL110" s="342"/>
      <c r="AM110" s="342"/>
      <c r="AN110" s="342"/>
      <c r="AO110" s="342"/>
      <c r="AP110" s="342"/>
      <c r="AQ110" s="342"/>
      <c r="AR110" s="342"/>
      <c r="AS110" s="342"/>
      <c r="AT110" s="342"/>
    </row>
    <row r="111" spans="1:120" ht="45" customHeight="1" outlineLevel="1" x14ac:dyDescent="0.25">
      <c r="B111" s="491" t="s">
        <v>15</v>
      </c>
      <c r="C111" s="425"/>
      <c r="D111" s="425"/>
      <c r="E111" s="425"/>
      <c r="F111" s="425"/>
      <c r="G111" s="488" t="s">
        <v>602</v>
      </c>
      <c r="H111" s="488"/>
      <c r="I111" s="489" t="s">
        <v>612</v>
      </c>
      <c r="J111" s="492"/>
      <c r="K111" s="492"/>
      <c r="L111" s="490"/>
      <c r="M111" s="342"/>
      <c r="N111" s="465" t="s">
        <v>517</v>
      </c>
      <c r="O111" s="466"/>
      <c r="P111" s="425"/>
      <c r="Q111" s="425"/>
      <c r="R111" s="425"/>
      <c r="S111" s="425"/>
      <c r="T111" s="425"/>
      <c r="U111" s="489" t="s">
        <v>518</v>
      </c>
      <c r="V111" s="490"/>
      <c r="W111" s="388"/>
      <c r="X111" s="426" t="s">
        <v>52</v>
      </c>
      <c r="Y111" s="467"/>
      <c r="Z111" s="420"/>
      <c r="AA111" s="420"/>
      <c r="AB111" s="420"/>
      <c r="AC111" s="420"/>
      <c r="AD111" s="420"/>
      <c r="AE111" s="467" t="s">
        <v>109</v>
      </c>
      <c r="AF111" s="468"/>
      <c r="AH111" s="342"/>
      <c r="AI111" s="342"/>
      <c r="AJ111" s="342"/>
      <c r="AK111" s="342"/>
      <c r="AL111" s="342"/>
      <c r="AM111" s="342"/>
      <c r="AN111" s="342"/>
      <c r="AO111" s="342"/>
      <c r="AP111" s="342"/>
      <c r="AQ111" s="342"/>
      <c r="AR111" s="342"/>
      <c r="AS111" s="342"/>
      <c r="AT111" s="342"/>
    </row>
    <row r="112" spans="1:120" outlineLevel="1" x14ac:dyDescent="0.25">
      <c r="B112" s="426"/>
      <c r="C112" s="425"/>
      <c r="D112" s="425"/>
      <c r="E112" s="425"/>
      <c r="F112" s="425"/>
      <c r="G112" s="302">
        <f>$G$16+$K$31</f>
        <v>0.13</v>
      </c>
      <c r="H112" s="427" t="s">
        <v>1</v>
      </c>
      <c r="I112" s="302">
        <f>SUM(I114:I117)</f>
        <v>100</v>
      </c>
      <c r="J112" s="449" t="s">
        <v>2</v>
      </c>
      <c r="K112" s="302">
        <f>SUM(K114:K117)</f>
        <v>0.13</v>
      </c>
      <c r="L112" s="428" t="s">
        <v>1</v>
      </c>
      <c r="M112" s="342"/>
      <c r="N112" s="450"/>
      <c r="O112" s="427" t="s">
        <v>0</v>
      </c>
      <c r="P112" s="425"/>
      <c r="Q112" s="425"/>
      <c r="R112" s="425"/>
      <c r="S112" s="425"/>
      <c r="T112" s="425"/>
      <c r="U112" s="302">
        <f>SUMPRODUCT(K114:K117,N114:N117)</f>
        <v>520</v>
      </c>
      <c r="V112" s="428" t="s">
        <v>6</v>
      </c>
      <c r="W112" s="388"/>
      <c r="X112" s="429"/>
      <c r="Y112" s="430" t="s">
        <v>20</v>
      </c>
      <c r="Z112" s="420"/>
      <c r="AA112" s="420"/>
      <c r="AB112" s="420"/>
      <c r="AC112" s="420"/>
      <c r="AD112" s="420"/>
      <c r="AE112" s="302">
        <f>SUMPRODUCT('ETAPE 1'!K114:K117,'ETAPE 1'!X114:X117)</f>
        <v>5.9800000000000001E-3</v>
      </c>
      <c r="AF112" s="428" t="s">
        <v>21</v>
      </c>
      <c r="AH112" s="342"/>
      <c r="AI112" s="342"/>
      <c r="AJ112" s="342"/>
      <c r="AK112" s="342"/>
      <c r="AL112" s="342"/>
      <c r="AM112" s="342"/>
      <c r="AN112" s="342"/>
      <c r="AO112" s="342"/>
      <c r="AP112" s="342"/>
      <c r="AQ112" s="342"/>
      <c r="AR112" s="342"/>
      <c r="AS112" s="342"/>
      <c r="AT112" s="342"/>
    </row>
    <row r="113" spans="1:120" ht="6.75" customHeight="1" outlineLevel="1" x14ac:dyDescent="0.25">
      <c r="A113" s="388"/>
      <c r="B113" s="431"/>
      <c r="C113" s="425"/>
      <c r="D113" s="425"/>
      <c r="E113" s="425"/>
      <c r="F113" s="425"/>
      <c r="G113" s="434"/>
      <c r="H113" s="434"/>
      <c r="I113" s="433"/>
      <c r="J113" s="433"/>
      <c r="K113" s="420"/>
      <c r="L113" s="432"/>
      <c r="M113" s="342"/>
      <c r="N113" s="431"/>
      <c r="O113" s="420"/>
      <c r="P113" s="420"/>
      <c r="Q113" s="420"/>
      <c r="R113" s="420"/>
      <c r="S113" s="420"/>
      <c r="T113" s="420"/>
      <c r="U113" s="420"/>
      <c r="V113" s="432"/>
      <c r="W113" s="388"/>
      <c r="X113" s="431"/>
      <c r="Y113" s="420"/>
      <c r="Z113" s="420"/>
      <c r="AA113" s="420"/>
      <c r="AB113" s="420"/>
      <c r="AC113" s="420"/>
      <c r="AD113" s="420"/>
      <c r="AE113" s="420"/>
      <c r="AF113" s="432"/>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row>
    <row r="114" spans="1:120" outlineLevel="1" x14ac:dyDescent="0.25">
      <c r="B114" s="435" t="s">
        <v>799</v>
      </c>
      <c r="C114" s="425"/>
      <c r="D114" s="425"/>
      <c r="E114" s="425"/>
      <c r="F114" s="425"/>
      <c r="G114" s="434"/>
      <c r="H114" s="434"/>
      <c r="I114" s="436">
        <v>100</v>
      </c>
      <c r="J114" s="449" t="s">
        <v>2</v>
      </c>
      <c r="K114" s="302">
        <f>I114/100*$G$112</f>
        <v>0.13</v>
      </c>
      <c r="L114" s="428" t="s">
        <v>1</v>
      </c>
      <c r="M114" s="342"/>
      <c r="N114" s="437">
        <f>IF(B114&lt;&gt;0,VLOOKUP(B114,GENERALITES!$B$68:$E$71,3,FALSE),"")</f>
        <v>4000</v>
      </c>
      <c r="O114" s="427" t="s">
        <v>0</v>
      </c>
      <c r="P114" s="438"/>
      <c r="Q114" s="438"/>
      <c r="R114" s="438"/>
      <c r="S114" s="438"/>
      <c r="T114" s="438"/>
      <c r="U114" s="420"/>
      <c r="V114" s="432"/>
      <c r="W114" s="388"/>
      <c r="X114" s="437">
        <f>IF(B114&lt;&gt;0,VLOOKUP(B114,GENERALITES!$B$68:$N$71,12,FALSE),"")</f>
        <v>4.5999999999999999E-2</v>
      </c>
      <c r="Y114" s="427" t="s">
        <v>20</v>
      </c>
      <c r="Z114" s="420"/>
      <c r="AA114" s="420"/>
      <c r="AB114" s="420"/>
      <c r="AC114" s="420"/>
      <c r="AD114" s="420"/>
      <c r="AE114" s="420"/>
      <c r="AF114" s="432"/>
    </row>
    <row r="115" spans="1:120" outlineLevel="1" x14ac:dyDescent="0.25">
      <c r="B115" s="435"/>
      <c r="C115" s="425"/>
      <c r="D115" s="425"/>
      <c r="E115" s="425"/>
      <c r="F115" s="425"/>
      <c r="G115" s="434"/>
      <c r="H115" s="434"/>
      <c r="I115" s="436"/>
      <c r="J115" s="449" t="s">
        <v>2</v>
      </c>
      <c r="K115" s="302">
        <f>I115/100*$G$112</f>
        <v>0</v>
      </c>
      <c r="L115" s="428" t="s">
        <v>1</v>
      </c>
      <c r="M115" s="342"/>
      <c r="N115" s="437" t="str">
        <f>IF(B115&lt;&gt;0,VLOOKUP(B115,GENERALITES!$B$68:$E$71,3,FALSE),"")</f>
        <v/>
      </c>
      <c r="O115" s="427" t="s">
        <v>0</v>
      </c>
      <c r="P115" s="438"/>
      <c r="Q115" s="438"/>
      <c r="R115" s="438"/>
      <c r="S115" s="438"/>
      <c r="T115" s="438"/>
      <c r="U115" s="420"/>
      <c r="V115" s="432"/>
      <c r="W115" s="388"/>
      <c r="X115" s="437" t="str">
        <f>IF(B115&lt;&gt;0,VLOOKUP(B115,GENERALITES!$B$68:$N$71,12,FALSE),"")</f>
        <v/>
      </c>
      <c r="Y115" s="427" t="s">
        <v>20</v>
      </c>
      <c r="Z115" s="420"/>
      <c r="AA115" s="420"/>
      <c r="AB115" s="420"/>
      <c r="AC115" s="420"/>
      <c r="AD115" s="420"/>
      <c r="AE115" s="420"/>
      <c r="AF115" s="432"/>
    </row>
    <row r="116" spans="1:120" outlineLevel="1" x14ac:dyDescent="0.25">
      <c r="B116" s="435"/>
      <c r="C116" s="425"/>
      <c r="D116" s="425"/>
      <c r="E116" s="425"/>
      <c r="F116" s="425"/>
      <c r="G116" s="434"/>
      <c r="H116" s="434"/>
      <c r="I116" s="436"/>
      <c r="J116" s="449" t="s">
        <v>2</v>
      </c>
      <c r="K116" s="302">
        <f>I116/100*$G$112</f>
        <v>0</v>
      </c>
      <c r="L116" s="428" t="s">
        <v>1</v>
      </c>
      <c r="M116" s="342"/>
      <c r="N116" s="437" t="str">
        <f>IF(B116&lt;&gt;0,VLOOKUP(B116,GENERALITES!$B$68:$E$71,3,FALSE),"")</f>
        <v/>
      </c>
      <c r="O116" s="427" t="s">
        <v>0</v>
      </c>
      <c r="P116" s="438"/>
      <c r="Q116" s="438"/>
      <c r="R116" s="438"/>
      <c r="S116" s="438"/>
      <c r="T116" s="438"/>
      <c r="U116" s="420"/>
      <c r="V116" s="432"/>
      <c r="W116" s="388"/>
      <c r="X116" s="437" t="str">
        <f>IF(B116&lt;&gt;0,VLOOKUP(B116,GENERALITES!$B$68:$N$71,12,FALSE),"")</f>
        <v/>
      </c>
      <c r="Y116" s="427" t="s">
        <v>20</v>
      </c>
      <c r="Z116" s="420"/>
      <c r="AA116" s="420"/>
      <c r="AB116" s="420"/>
      <c r="AC116" s="420"/>
      <c r="AD116" s="420"/>
      <c r="AE116" s="420"/>
      <c r="AF116" s="432"/>
    </row>
    <row r="117" spans="1:120" outlineLevel="1" x14ac:dyDescent="0.25">
      <c r="B117" s="435"/>
      <c r="C117" s="425"/>
      <c r="D117" s="425"/>
      <c r="E117" s="425"/>
      <c r="F117" s="425"/>
      <c r="G117" s="434"/>
      <c r="H117" s="434"/>
      <c r="I117" s="436"/>
      <c r="J117" s="449" t="s">
        <v>2</v>
      </c>
      <c r="K117" s="302">
        <f>I117/100*$G$112</f>
        <v>0</v>
      </c>
      <c r="L117" s="428" t="s">
        <v>1</v>
      </c>
      <c r="M117" s="342"/>
      <c r="N117" s="437" t="str">
        <f>IF(B117&lt;&gt;0,VLOOKUP(B117,GENERALITES!$B$68:$E$71,3,FALSE),"")</f>
        <v/>
      </c>
      <c r="O117" s="427" t="s">
        <v>0</v>
      </c>
      <c r="P117" s="438"/>
      <c r="Q117" s="438"/>
      <c r="R117" s="438"/>
      <c r="S117" s="438"/>
      <c r="T117" s="438"/>
      <c r="U117" s="420"/>
      <c r="V117" s="432"/>
      <c r="W117" s="388"/>
      <c r="X117" s="437" t="str">
        <f>IF(B117&lt;&gt;0,VLOOKUP(B117,GENERALITES!$B$68:$N$71,12,FALSE),"")</f>
        <v/>
      </c>
      <c r="Y117" s="427" t="s">
        <v>20</v>
      </c>
      <c r="Z117" s="420"/>
      <c r="AA117" s="420"/>
      <c r="AB117" s="420"/>
      <c r="AC117" s="420"/>
      <c r="AD117" s="420"/>
      <c r="AE117" s="420"/>
      <c r="AF117" s="432"/>
    </row>
    <row r="118" spans="1:120" ht="15.75" thickBot="1" x14ac:dyDescent="0.3">
      <c r="A118" s="440"/>
      <c r="B118" s="441"/>
      <c r="C118" s="442"/>
      <c r="D118" s="442"/>
      <c r="E118" s="442"/>
      <c r="F118" s="442"/>
      <c r="G118" s="442"/>
      <c r="H118" s="442"/>
      <c r="I118" s="442"/>
      <c r="J118" s="442"/>
      <c r="K118" s="442"/>
      <c r="L118" s="443"/>
      <c r="M118" s="440"/>
      <c r="N118" s="441"/>
      <c r="O118" s="442"/>
      <c r="P118" s="442"/>
      <c r="Q118" s="442"/>
      <c r="R118" s="442"/>
      <c r="S118" s="442"/>
      <c r="T118" s="442"/>
      <c r="U118" s="442"/>
      <c r="V118" s="443"/>
      <c r="W118" s="440"/>
      <c r="X118" s="444"/>
      <c r="Y118" s="445"/>
      <c r="Z118" s="445"/>
      <c r="AA118" s="445"/>
      <c r="AB118" s="445"/>
      <c r="AC118" s="445"/>
      <c r="AD118" s="445"/>
      <c r="AE118" s="445"/>
      <c r="AF118" s="446"/>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row>
    <row r="119" spans="1:120" ht="30" customHeight="1" thickBot="1" x14ac:dyDescent="0.3">
      <c r="A119" s="388"/>
      <c r="B119" s="394" t="s">
        <v>38</v>
      </c>
      <c r="C119" s="395"/>
      <c r="D119" s="395"/>
      <c r="E119" s="395"/>
      <c r="F119" s="395"/>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7"/>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row>
    <row r="120" spans="1:120" ht="15.75" outlineLevel="1" thickBot="1" x14ac:dyDescent="0.3"/>
    <row r="121" spans="1:120" ht="15" customHeight="1" outlineLevel="1" x14ac:dyDescent="0.25">
      <c r="B121" s="399" t="s">
        <v>709</v>
      </c>
      <c r="C121" s="400"/>
      <c r="D121" s="342"/>
      <c r="E121" s="399" t="s">
        <v>710</v>
      </c>
      <c r="F121" s="493"/>
      <c r="G121" s="493"/>
      <c r="H121" s="493"/>
      <c r="I121" s="493"/>
      <c r="J121" s="493"/>
      <c r="K121" s="493"/>
      <c r="L121" s="400"/>
      <c r="M121" s="433"/>
      <c r="N121" s="399" t="s">
        <v>61</v>
      </c>
      <c r="O121" s="493"/>
      <c r="P121" s="493"/>
      <c r="Q121" s="493"/>
      <c r="R121" s="493"/>
      <c r="S121" s="493"/>
      <c r="T121" s="493"/>
      <c r="U121" s="493"/>
      <c r="V121" s="400"/>
      <c r="W121" s="420"/>
      <c r="X121" s="399" t="s">
        <v>60</v>
      </c>
      <c r="Y121" s="493"/>
      <c r="Z121" s="493"/>
      <c r="AA121" s="493"/>
      <c r="AB121" s="493"/>
      <c r="AC121" s="493"/>
      <c r="AD121" s="493"/>
      <c r="AE121" s="493"/>
      <c r="AF121" s="400"/>
      <c r="AG121" s="342"/>
      <c r="AH121" s="342"/>
      <c r="AI121" s="342"/>
      <c r="AJ121" s="342"/>
      <c r="AK121" s="342"/>
      <c r="AL121" s="342"/>
      <c r="AM121" s="342"/>
      <c r="AN121" s="342"/>
      <c r="AO121" s="342"/>
      <c r="AP121" s="342"/>
      <c r="AQ121" s="342"/>
      <c r="AR121" s="342"/>
      <c r="AS121" s="342"/>
    </row>
    <row r="122" spans="1:120" ht="63" customHeight="1" outlineLevel="1" x14ac:dyDescent="0.25">
      <c r="B122" s="269" t="s">
        <v>583</v>
      </c>
      <c r="C122" s="401"/>
      <c r="D122" s="342"/>
      <c r="E122" s="402" t="s">
        <v>584</v>
      </c>
      <c r="F122" s="403"/>
      <c r="G122" s="422" t="s">
        <v>55</v>
      </c>
      <c r="H122" s="270"/>
      <c r="I122" s="422" t="s">
        <v>558</v>
      </c>
      <c r="J122" s="270"/>
      <c r="K122" s="422" t="s">
        <v>59</v>
      </c>
      <c r="L122" s="401"/>
      <c r="M122" s="420"/>
      <c r="N122" s="471"/>
      <c r="O122" s="425"/>
      <c r="P122" s="403" t="s">
        <v>169</v>
      </c>
      <c r="Q122" s="403"/>
      <c r="R122" s="422" t="s">
        <v>161</v>
      </c>
      <c r="S122" s="270"/>
      <c r="T122" s="425"/>
      <c r="U122" s="422" t="s">
        <v>162</v>
      </c>
      <c r="V122" s="401"/>
      <c r="W122" s="433"/>
      <c r="X122" s="471"/>
      <c r="Y122" s="425"/>
      <c r="Z122" s="467" t="s">
        <v>163</v>
      </c>
      <c r="AA122" s="467"/>
      <c r="AB122" s="422" t="s">
        <v>164</v>
      </c>
      <c r="AC122" s="270"/>
      <c r="AD122" s="425"/>
      <c r="AE122" s="467" t="s">
        <v>165</v>
      </c>
      <c r="AF122" s="468"/>
      <c r="AG122" s="342"/>
      <c r="AH122" s="342"/>
      <c r="AI122" s="342"/>
      <c r="AJ122" s="342"/>
      <c r="AK122" s="342"/>
      <c r="AL122" s="342"/>
      <c r="AM122" s="342"/>
      <c r="AN122" s="342"/>
      <c r="AO122" s="342"/>
      <c r="AP122" s="342"/>
      <c r="AQ122" s="342"/>
      <c r="AR122" s="342"/>
      <c r="AS122" s="342"/>
    </row>
    <row r="123" spans="1:120" ht="15.75" outlineLevel="1" thickBot="1" x14ac:dyDescent="0.3">
      <c r="B123" s="408">
        <f>C16</f>
        <v>23.720000000000002</v>
      </c>
      <c r="C123" s="409" t="s">
        <v>1</v>
      </c>
      <c r="D123" s="342"/>
      <c r="E123" s="408">
        <f>E16</f>
        <v>23.720000000000002</v>
      </c>
      <c r="F123" s="410" t="s">
        <v>1</v>
      </c>
      <c r="G123" s="411">
        <f>G16</f>
        <v>0.12000000000000001</v>
      </c>
      <c r="H123" s="410" t="s">
        <v>1</v>
      </c>
      <c r="I123" s="411">
        <f>I16</f>
        <v>0.1198</v>
      </c>
      <c r="J123" s="410" t="s">
        <v>1</v>
      </c>
      <c r="K123" s="411">
        <f>K16</f>
        <v>0.50590219224283306</v>
      </c>
      <c r="L123" s="409" t="s">
        <v>2</v>
      </c>
      <c r="M123" s="420"/>
      <c r="N123" s="494"/>
      <c r="O123" s="495"/>
      <c r="P123" s="411">
        <f>P16+P31+P46+P58+P70+P82+P94</f>
        <v>58879.1</v>
      </c>
      <c r="Q123" s="496" t="s">
        <v>6</v>
      </c>
      <c r="R123" s="497">
        <f>R16+R31+R46+R58+R70+R82+R94</f>
        <v>2482.2554806070825</v>
      </c>
      <c r="S123" s="410" t="s">
        <v>72</v>
      </c>
      <c r="T123" s="495"/>
      <c r="U123" s="411">
        <f>U16+U31+U46+U58+U70+U82+U94+U106+U112</f>
        <v>2729.660708263069</v>
      </c>
      <c r="V123" s="409" t="s">
        <v>6</v>
      </c>
      <c r="W123" s="433"/>
      <c r="X123" s="494"/>
      <c r="Y123" s="495"/>
      <c r="Z123" s="497">
        <f>Z16+Z31+Z46+Z58+Z70</f>
        <v>195.55545999999998</v>
      </c>
      <c r="AA123" s="410" t="s">
        <v>21</v>
      </c>
      <c r="AB123" s="497">
        <f>AB16+AB31+AB46+AB58+AB70</f>
        <v>8.2443279932546361</v>
      </c>
      <c r="AC123" s="410" t="s">
        <v>73</v>
      </c>
      <c r="AD123" s="495"/>
      <c r="AE123" s="411">
        <f>AE16+AE31+AE46+AE58+AE70+AE112</f>
        <v>2.30172</v>
      </c>
      <c r="AF123" s="409" t="s">
        <v>21</v>
      </c>
      <c r="AG123" s="342"/>
      <c r="AH123" s="342"/>
      <c r="AI123" s="342"/>
      <c r="AJ123" s="342"/>
      <c r="AK123" s="342"/>
      <c r="AL123" s="342"/>
      <c r="AM123" s="342"/>
      <c r="AN123" s="342"/>
      <c r="AO123" s="342"/>
      <c r="AP123" s="342"/>
      <c r="AQ123" s="342"/>
      <c r="AR123" s="342"/>
      <c r="AS123" s="342"/>
    </row>
    <row r="124" spans="1:120"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row>
    <row r="126" spans="1:120" x14ac:dyDescent="0.25">
      <c r="J126" s="386" t="s">
        <v>40</v>
      </c>
    </row>
    <row r="142" spans="9:9" x14ac:dyDescent="0.25">
      <c r="I142" s="386" t="s">
        <v>40</v>
      </c>
    </row>
  </sheetData>
  <sheetProtection algorithmName="SHA-512" hashValue="+BkvdnLqVBd5DRChbb36yiWPNRX9JXBPyN5HAOOYFjiQnGXGltY/mw+2+WTphZNvqx0rXuyD/r/3G1TMWAuUQQ==" saltValue="2uCWn2wIrh/wx5MowXcOSA==" spinCount="100000" sheet="1" objects="1" scenarios="1"/>
  <mergeCells count="142">
    <mergeCell ref="B1:K1"/>
    <mergeCell ref="B80:L80"/>
    <mergeCell ref="N80:V80"/>
    <mergeCell ref="B66:H66"/>
    <mergeCell ref="B68:L68"/>
    <mergeCell ref="N68:V68"/>
    <mergeCell ref="B104:L104"/>
    <mergeCell ref="N104:V104"/>
    <mergeCell ref="B92:L92"/>
    <mergeCell ref="N92:V92"/>
    <mergeCell ref="B90:AF90"/>
    <mergeCell ref="R93:S93"/>
    <mergeCell ref="AB57:AC57"/>
    <mergeCell ref="AE57:AF57"/>
    <mergeCell ref="I45:L45"/>
    <mergeCell ref="N45:O45"/>
    <mergeCell ref="P45:Q45"/>
    <mergeCell ref="X68:AF68"/>
    <mergeCell ref="R57:S57"/>
    <mergeCell ref="U57:V57"/>
    <mergeCell ref="X57:Y57"/>
    <mergeCell ref="Z57:AA57"/>
    <mergeCell ref="G57:H57"/>
    <mergeCell ref="I57:L57"/>
    <mergeCell ref="I105:L105"/>
    <mergeCell ref="N105:O105"/>
    <mergeCell ref="U105:V105"/>
    <mergeCell ref="N9:O9"/>
    <mergeCell ref="G105:H105"/>
    <mergeCell ref="G111:H111"/>
    <mergeCell ref="B111:B112"/>
    <mergeCell ref="I111:L111"/>
    <mergeCell ref="N111:O111"/>
    <mergeCell ref="U111:V111"/>
    <mergeCell ref="G81:H81"/>
    <mergeCell ref="I81:L81"/>
    <mergeCell ref="N81:O81"/>
    <mergeCell ref="P81:Q81"/>
    <mergeCell ref="R81:S81"/>
    <mergeCell ref="N30:O30"/>
    <mergeCell ref="P30:Q30"/>
    <mergeCell ref="B42:H42"/>
    <mergeCell ref="I30:L30"/>
    <mergeCell ref="B14:L14"/>
    <mergeCell ref="U81:V81"/>
    <mergeCell ref="G72:H72"/>
    <mergeCell ref="B78:H78"/>
    <mergeCell ref="G45:H45"/>
    <mergeCell ref="Z122:AA122"/>
    <mergeCell ref="B119:AF119"/>
    <mergeCell ref="B121:C121"/>
    <mergeCell ref="E121:L121"/>
    <mergeCell ref="N121:V121"/>
    <mergeCell ref="X121:AF121"/>
    <mergeCell ref="B122:C122"/>
    <mergeCell ref="I122:J122"/>
    <mergeCell ref="E122:F122"/>
    <mergeCell ref="G122:H122"/>
    <mergeCell ref="K122:L122"/>
    <mergeCell ref="AB122:AC122"/>
    <mergeCell ref="AE122:AF122"/>
    <mergeCell ref="P122:Q122"/>
    <mergeCell ref="R122:S122"/>
    <mergeCell ref="U122:V122"/>
    <mergeCell ref="X111:Y111"/>
    <mergeCell ref="AE111:AF111"/>
    <mergeCell ref="AB69:AC69"/>
    <mergeCell ref="AE69:AF69"/>
    <mergeCell ref="G60:H60"/>
    <mergeCell ref="X69:Y69"/>
    <mergeCell ref="Z69:AA69"/>
    <mergeCell ref="G69:H69"/>
    <mergeCell ref="I69:L69"/>
    <mergeCell ref="N69:O69"/>
    <mergeCell ref="P69:Q69"/>
    <mergeCell ref="R69:S69"/>
    <mergeCell ref="U69:V69"/>
    <mergeCell ref="G84:H84"/>
    <mergeCell ref="U93:V93"/>
    <mergeCell ref="B108:AF108"/>
    <mergeCell ref="B110:L110"/>
    <mergeCell ref="N110:V110"/>
    <mergeCell ref="X110:AF110"/>
    <mergeCell ref="G93:H93"/>
    <mergeCell ref="I93:L93"/>
    <mergeCell ref="N93:O93"/>
    <mergeCell ref="P93:Q93"/>
    <mergeCell ref="B102:AF102"/>
    <mergeCell ref="N57:O57"/>
    <mergeCell ref="P57:Q57"/>
    <mergeCell ref="B54:H54"/>
    <mergeCell ref="B56:L56"/>
    <mergeCell ref="N56:V56"/>
    <mergeCell ref="X56:AF56"/>
    <mergeCell ref="AB45:AC45"/>
    <mergeCell ref="AE45:AF45"/>
    <mergeCell ref="R45:S45"/>
    <mergeCell ref="U45:V45"/>
    <mergeCell ref="X45:Y45"/>
    <mergeCell ref="Z45:AA45"/>
    <mergeCell ref="B27:AF27"/>
    <mergeCell ref="B44:L44"/>
    <mergeCell ref="N44:V44"/>
    <mergeCell ref="X44:AF44"/>
    <mergeCell ref="AB15:AC15"/>
    <mergeCell ref="AE15:AF15"/>
    <mergeCell ref="B29:L29"/>
    <mergeCell ref="N29:V29"/>
    <mergeCell ref="X29:AF29"/>
    <mergeCell ref="P15:Q15"/>
    <mergeCell ref="R15:S15"/>
    <mergeCell ref="U15:V15"/>
    <mergeCell ref="X15:Y15"/>
    <mergeCell ref="Z15:AA15"/>
    <mergeCell ref="AB30:AC30"/>
    <mergeCell ref="AE30:AF30"/>
    <mergeCell ref="B40:AF40"/>
    <mergeCell ref="R30:S30"/>
    <mergeCell ref="U30:V30"/>
    <mergeCell ref="X30:Y30"/>
    <mergeCell ref="Z30:AA30"/>
    <mergeCell ref="B30:B31"/>
    <mergeCell ref="G30:H30"/>
    <mergeCell ref="N14:V14"/>
    <mergeCell ref="X14:AF14"/>
    <mergeCell ref="B15:B16"/>
    <mergeCell ref="C15:D15"/>
    <mergeCell ref="N15:O15"/>
    <mergeCell ref="E15:F15"/>
    <mergeCell ref="G15:H15"/>
    <mergeCell ref="I15:J15"/>
    <mergeCell ref="K15:L15"/>
    <mergeCell ref="B6:AF6"/>
    <mergeCell ref="B8:C8"/>
    <mergeCell ref="B9:C9"/>
    <mergeCell ref="I9:J9"/>
    <mergeCell ref="G9:H9"/>
    <mergeCell ref="E9:F9"/>
    <mergeCell ref="E8:J8"/>
    <mergeCell ref="B12:AF12"/>
    <mergeCell ref="N2:Z4"/>
    <mergeCell ref="B4:L4"/>
  </mergeCells>
  <conditionalFormatting sqref="N10">
    <cfRule type="expression" dxfId="99" priority="1">
      <formula>IF($N$10&gt;100,TRUE,FALSE)</formula>
    </cfRule>
  </conditionalFormatting>
  <hyperlinks>
    <hyperlink ref="E15:F15" location="'Aide données'!A1" display="Poids MPA en sortie théorique"/>
    <hyperlink ref="I15:J15" location="'Aide données'!A1" display="Dont part consommabl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8" id="{ED084EC5-3BFD-4920-9021-383B7598F22D}">
            <xm:f>IF($B$46=Annexes!$B$3,TRUE,FALSE)</xm:f>
            <x14:dxf>
              <fill>
                <patternFill>
                  <bgColor theme="7" tint="0.79998168889431442"/>
                </patternFill>
              </fill>
            </x14:dxf>
          </x14:cfRule>
          <xm:sqref>G46</xm:sqref>
        </x14:conditionalFormatting>
        <x14:conditionalFormatting xmlns:xm="http://schemas.microsoft.com/office/excel/2006/main">
          <x14:cfRule type="expression" priority="16" id="{EE2EAD37-6873-4F4B-AA78-D40422FE159C}">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9" id="{B0E0C364-F5FB-453E-8FCE-58DC6B3E9616}">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17" id="{A9830EF4-3953-4EEB-854F-F9751D72872A}">
            <xm:f>IF($B$58=Annexes!$B$3,TRUE,FALSE)</xm:f>
            <x14:dxf>
              <fill>
                <patternFill>
                  <bgColor theme="7" tint="0.79998168889431442"/>
                </patternFill>
              </fill>
            </x14:dxf>
          </x14:cfRule>
          <xm:sqref>G58</xm:sqref>
        </x14:conditionalFormatting>
        <x14:conditionalFormatting xmlns:xm="http://schemas.microsoft.com/office/excel/2006/main">
          <x14:cfRule type="expression" priority="20" id="{2FE41E13-DAB1-4DE5-9FE3-50D63CE98E1F}">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18" id="{0BD541B8-8EE1-4C15-9D6D-92D2381BECB2}">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21" id="{532EF00E-86DB-410D-9E07-B26B0FEAFC41}">
            <xm:f>IF($B$70=Annexes!$B$3,TRUE,FALSE)</xm:f>
            <x14:dxf>
              <fill>
                <patternFill>
                  <bgColor theme="7" tint="0.79998168889431442"/>
                </patternFill>
              </fill>
            </x14:dxf>
          </x14:cfRule>
          <xm:sqref>G70</xm:sqref>
        </x14:conditionalFormatting>
        <x14:conditionalFormatting xmlns:xm="http://schemas.microsoft.com/office/excel/2006/main">
          <x14:cfRule type="expression" priority="25" id="{67808EA4-2F58-46F2-8957-D7BEA2839AE6}">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22" id="{1BCE0C6B-DB73-4E43-8A58-5F4E7BE1147B}">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30" id="{2D5B0BF1-2C1F-44C3-8F2E-04AD9B731444}">
            <xm:f>IF($B$82=Annexes!$B$3,TRUE,FALSE)</xm:f>
            <x14:dxf>
              <fill>
                <patternFill>
                  <bgColor theme="7" tint="0.79998168889431442"/>
                </patternFill>
              </fill>
            </x14:dxf>
          </x14:cfRule>
          <xm:sqref>G82</xm:sqref>
        </x14:conditionalFormatting>
        <x14:conditionalFormatting xmlns:xm="http://schemas.microsoft.com/office/excel/2006/main">
          <x14:cfRule type="expression" priority="32" id="{B9D720B4-D54E-4CCE-B391-1437D451F5F8}">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31" id="{773EF1EC-82BF-46D9-89A1-B121ACF4F66E}">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40" id="{4B96B9FD-8291-4943-9190-43CC4B0F1654}">
            <xm:f>IF($B$94=Annexes!$B$3,TRUE,FALSE)</xm:f>
            <x14:dxf>
              <fill>
                <patternFill>
                  <bgColor theme="7" tint="0.79998168889431442"/>
                </patternFill>
              </fill>
            </x14:dxf>
          </x14:cfRule>
          <xm:sqref>G94</xm:sqref>
        </x14:conditionalFormatting>
        <x14:conditionalFormatting xmlns:xm="http://schemas.microsoft.com/office/excel/2006/main">
          <x14:cfRule type="expression" priority="41" id="{E71C6ACE-509C-4035-9F64-1B6E79983FF5}">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51" id="{A5F048A1-D2DB-43F5-A96C-AFA68515BA68}">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GENERALITES!$B$36:$B$41</xm:f>
          </x14:formula1>
          <xm:sqref>B33:B38</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GENERALITES!$B$21:$B$31</xm:f>
          </x14:formula1>
          <xm:sqref>B18:B25</xm:sqref>
        </x14:dataValidation>
        <x14:dataValidation type="list" allowBlank="1" showInputMessage="1" showErrorMessage="1">
          <x14:formula1>
            <xm:f>Annexes!$B$3:$B$4</xm:f>
          </x14:formula1>
          <xm:sqref>B46 B58 B70 B82 B94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F131"/>
  <sheetViews>
    <sheetView showGridLines="0" zoomScaleNormal="100" workbookViewId="0"/>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0.28515625" style="386" bestFit="1" customWidth="1"/>
    <col min="17" max="17" width="6.28515625" style="386" customWidth="1"/>
    <col min="18" max="18" width="1.140625" style="386" customWidth="1"/>
    <col min="19" max="19" width="9.42578125" style="386" customWidth="1"/>
    <col min="20" max="20" width="6.28515625" style="386" customWidth="1"/>
    <col min="21" max="21" width="12.7109375" style="386" bestFit="1" customWidth="1"/>
    <col min="22" max="22" width="6.28515625" style="386" customWidth="1"/>
    <col min="23" max="23" width="1.140625" style="386" customWidth="1"/>
    <col min="24" max="24" width="12.7109375" style="386" bestFit="1" customWidth="1"/>
    <col min="25" max="25" width="6.28515625" style="386" customWidth="1"/>
    <col min="26" max="26" width="9.42578125" style="386" customWidth="1"/>
    <col min="27" max="27" width="6.28515625" style="386" customWidth="1"/>
    <col min="28" max="28" width="1.140625" style="386" customWidth="1"/>
    <col min="29" max="29" width="12.7109375" style="386" customWidth="1"/>
    <col min="30" max="30" width="6.42578125" style="386" customWidth="1"/>
    <col min="31" max="31" width="2.140625" style="386" customWidth="1"/>
    <col min="32" max="32" width="9.42578125" style="386" customWidth="1"/>
    <col min="33" max="33" width="12.140625" style="386" customWidth="1"/>
    <col min="34" max="34" width="9.42578125" style="386" customWidth="1"/>
    <col min="35" max="35" width="6.28515625" style="386" customWidth="1"/>
    <col min="36" max="36" width="1.140625" style="386" customWidth="1"/>
    <col min="37" max="37" width="9.42578125" style="386" customWidth="1"/>
    <col min="38" max="38" width="12.140625" style="386" customWidth="1"/>
    <col min="39" max="39" width="9.42578125" style="386" customWidth="1"/>
    <col min="40" max="40" width="6.28515625" style="386" customWidth="1"/>
    <col min="41" max="41" width="1.140625" style="386" customWidth="1"/>
    <col min="42" max="42" width="9.42578125" style="386" customWidth="1"/>
    <col min="43" max="43" width="6.28515625" style="386" customWidth="1"/>
    <col min="44" max="44" width="9.42578125" style="386" customWidth="1"/>
    <col min="45" max="45" width="12.140625" style="386" customWidth="1"/>
    <col min="46" max="46" width="1.140625" style="386" customWidth="1"/>
    <col min="47" max="47" width="9.42578125" style="386" customWidth="1"/>
    <col min="48" max="48" width="6.28515625" style="386" customWidth="1"/>
    <col min="49" max="49" width="2.140625" style="386" customWidth="1"/>
    <col min="50" max="50" width="9.42578125" style="386" customWidth="1"/>
    <col min="51" max="51" width="6.28515625" style="386" customWidth="1"/>
    <col min="52" max="52" width="9.42578125" style="386" customWidth="1"/>
    <col min="53" max="53" width="6.28515625" style="386" customWidth="1"/>
    <col min="54" max="54" width="9.42578125" style="386" customWidth="1"/>
    <col min="55" max="55" width="6.7109375" style="386" bestFit="1" customWidth="1"/>
    <col min="56" max="56" width="2.140625" style="386" customWidth="1"/>
    <col min="57" max="57" width="9.42578125" style="386" customWidth="1"/>
    <col min="58" max="58" width="12.140625" style="386" customWidth="1"/>
    <col min="59" max="59" width="9.42578125" style="386" customWidth="1"/>
    <col min="60" max="60" width="6.28515625" style="386" customWidth="1"/>
    <col min="61" max="61" width="9.42578125" style="386" customWidth="1"/>
    <col min="62" max="62" width="6.28515625" style="386" customWidth="1"/>
    <col min="63" max="63" width="9.42578125" style="386" customWidth="1"/>
    <col min="64" max="64" width="6.28515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9.42578125" style="386" customWidth="1"/>
    <col min="75" max="75" width="12" style="386" customWidth="1"/>
    <col min="76" max="76" width="9.42578125" style="386" customWidth="1"/>
    <col min="77" max="77" width="6.28515625" style="386" customWidth="1"/>
    <col min="78" max="78" width="9.42578125" style="386" customWidth="1"/>
    <col min="79" max="79" width="6.28515625" style="386" customWidth="1"/>
    <col min="80" max="80" width="2.140625" style="386" customWidth="1"/>
    <col min="81" max="81" width="9.42578125" style="386" customWidth="1"/>
    <col min="82" max="82" width="6.28515625" style="386" customWidth="1"/>
    <col min="83" max="83" width="9.42578125" style="386" customWidth="1"/>
    <col min="84" max="84" width="8.42578125" style="386" customWidth="1"/>
    <col min="85" max="85" width="9.42578125" style="386" customWidth="1"/>
    <col min="86" max="86" width="6.28515625" style="386" customWidth="1"/>
    <col min="87" max="87" width="9.42578125" style="386" customWidth="1"/>
    <col min="88" max="88" width="6.28515625" style="386" customWidth="1"/>
    <col min="89" max="89" width="2.140625" style="386" customWidth="1"/>
    <col min="90" max="90" width="18.7109375" style="386" customWidth="1"/>
    <col min="91" max="91" width="9.42578125" style="386" customWidth="1"/>
    <col min="92" max="92" width="6.28515625" style="386" customWidth="1"/>
    <col min="93" max="93" width="9.42578125" style="386" customWidth="1"/>
    <col min="94" max="94" width="9" style="386" customWidth="1"/>
    <col min="95" max="95" width="9.42578125" style="386" customWidth="1"/>
    <col min="96" max="96" width="6.28515625" style="386" customWidth="1"/>
    <col min="97" max="97" width="9.42578125" style="386" customWidth="1"/>
    <col min="98" max="98" width="6.28515625" style="386" customWidth="1"/>
    <col min="99" max="99" width="2.140625" style="386" customWidth="1"/>
    <col min="100" max="100" width="18.7109375" style="386" customWidth="1"/>
    <col min="101" max="101" width="9.42578125" style="386" customWidth="1"/>
    <col min="102" max="102" width="6.28515625" style="386" customWidth="1"/>
    <col min="103" max="103" width="9.42578125" style="386" customWidth="1"/>
    <col min="104" max="104" width="6.42578125" style="386" customWidth="1"/>
    <col min="105" max="105" width="9.42578125" style="386" customWidth="1"/>
    <col min="106" max="106" width="6.28515625" style="386" customWidth="1"/>
    <col min="107" max="107" width="9.42578125" style="386" customWidth="1"/>
    <col min="108" max="108" width="6.42578125" style="386" customWidth="1"/>
    <col min="109" max="109" width="9.42578125" style="386" customWidth="1"/>
    <col min="110" max="110" width="6.42578125" style="386" customWidth="1"/>
    <col min="111" max="111" width="2.140625" style="386" customWidth="1"/>
    <col min="112" max="112" width="12.85546875" style="386" customWidth="1"/>
    <col min="113" max="113" width="9.42578125" style="386" customWidth="1"/>
    <col min="114" max="114" width="8.28515625" style="386" customWidth="1"/>
    <col min="115" max="115" width="18.7109375" style="386" customWidth="1"/>
    <col min="116" max="116" width="9.42578125" style="386" customWidth="1"/>
    <col min="117" max="117" width="8.28515625" style="386" customWidth="1"/>
    <col min="118" max="118" width="9.42578125" style="386" customWidth="1"/>
    <col min="119" max="119" width="8.28515625" style="386" customWidth="1"/>
    <col min="120" max="120" width="9.42578125" style="386" customWidth="1"/>
    <col min="121" max="121" width="6.28515625" style="386" customWidth="1"/>
    <col min="122" max="122" width="9.42578125" style="386" customWidth="1"/>
    <col min="123" max="123" width="6.28515625" style="386" customWidth="1"/>
    <col min="124" max="124" width="2.140625" style="386" customWidth="1"/>
    <col min="125" max="125" width="18.7109375" style="386" customWidth="1"/>
    <col min="126" max="126" width="9.42578125" style="386" customWidth="1"/>
    <col min="127" max="127" width="6.28515625" style="386" customWidth="1"/>
    <col min="128" max="128" width="9.42578125" style="386" customWidth="1"/>
    <col min="129" max="129" width="6.28515625" style="386" customWidth="1"/>
    <col min="130" max="130" width="9.42578125" style="386" customWidth="1"/>
    <col min="131" max="131" width="6.28515625" style="386" customWidth="1"/>
    <col min="132" max="132" width="2.140625" style="386" customWidth="1"/>
    <col min="133" max="133" width="9.42578125" style="386" customWidth="1"/>
    <col min="134" max="134" width="12" style="386" customWidth="1"/>
    <col min="135" max="135" width="9.42578125" style="386" customWidth="1"/>
    <col min="136" max="136" width="6.28515625" style="386" customWidth="1"/>
    <col min="137" max="16384" width="11.42578125" style="386"/>
  </cols>
  <sheetData>
    <row r="1" spans="1:136" ht="24" thickBot="1" x14ac:dyDescent="0.4">
      <c r="A1" s="385"/>
      <c r="B1" s="178" t="s">
        <v>724</v>
      </c>
      <c r="C1" s="179"/>
      <c r="D1" s="179"/>
      <c r="E1" s="179"/>
      <c r="F1" s="179"/>
      <c r="G1" s="180"/>
    </row>
    <row r="2" spans="1:136" ht="56.25" customHeight="1" x14ac:dyDescent="0.25">
      <c r="B2" s="387" t="s">
        <v>71</v>
      </c>
      <c r="C2" s="387"/>
      <c r="D2" s="387"/>
      <c r="E2" s="387"/>
      <c r="F2" s="387"/>
      <c r="G2" s="387"/>
      <c r="H2" s="387"/>
      <c r="I2" s="387"/>
      <c r="J2" s="387"/>
      <c r="K2" s="387"/>
      <c r="L2" s="387"/>
      <c r="M2" s="387"/>
      <c r="N2" s="254" t="s">
        <v>721</v>
      </c>
      <c r="O2" s="255"/>
      <c r="P2" s="255"/>
      <c r="Q2" s="255"/>
      <c r="R2" s="255"/>
      <c r="S2" s="255"/>
      <c r="T2" s="255"/>
      <c r="U2" s="255"/>
      <c r="V2" s="255"/>
      <c r="W2" s="255"/>
      <c r="X2" s="255"/>
      <c r="Y2" s="255"/>
      <c r="Z2" s="256"/>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136" x14ac:dyDescent="0.25">
      <c r="A3" s="388"/>
      <c r="B3" s="498"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88"/>
      <c r="AH3" s="388"/>
      <c r="AI3" s="388"/>
      <c r="AJ3" s="388"/>
      <c r="AK3" s="388"/>
      <c r="AL3" s="388"/>
      <c r="AM3" s="388"/>
      <c r="AN3" s="388"/>
      <c r="AO3" s="388"/>
      <c r="AP3" s="388"/>
      <c r="AQ3" s="388"/>
      <c r="AR3" s="388"/>
      <c r="AS3" s="388"/>
      <c r="AT3" s="388"/>
      <c r="AU3" s="388"/>
      <c r="AV3" s="388"/>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row>
    <row r="4" spans="1:136" ht="43.5" customHeight="1" thickBot="1" x14ac:dyDescent="0.3">
      <c r="B4" s="390" t="s">
        <v>802</v>
      </c>
      <c r="C4" s="391"/>
      <c r="D4" s="391"/>
      <c r="E4" s="391"/>
      <c r="F4" s="391"/>
      <c r="G4" s="391"/>
      <c r="H4" s="391"/>
      <c r="I4" s="391"/>
      <c r="J4" s="391"/>
      <c r="K4" s="391"/>
      <c r="L4" s="392"/>
      <c r="M4" s="393"/>
      <c r="N4" s="275"/>
      <c r="O4" s="276"/>
      <c r="P4" s="276"/>
      <c r="Q4" s="276"/>
      <c r="R4" s="276"/>
      <c r="S4" s="276"/>
      <c r="T4" s="276"/>
      <c r="U4" s="276"/>
      <c r="V4" s="276"/>
      <c r="W4" s="276"/>
      <c r="X4" s="276"/>
      <c r="Y4" s="276"/>
      <c r="Z4" s="277"/>
      <c r="AA4" s="393"/>
      <c r="AB4" s="393"/>
      <c r="AC4" s="393"/>
      <c r="AD4" s="393"/>
      <c r="AE4" s="393"/>
    </row>
    <row r="5" spans="1:136" ht="15.75" thickBot="1" x14ac:dyDescent="0.3">
      <c r="A5" s="388"/>
      <c r="AC5" s="388"/>
      <c r="AD5" s="388"/>
      <c r="AE5" s="388"/>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342"/>
    </row>
    <row r="6" spans="1:136" ht="30" customHeight="1" thickBot="1" x14ac:dyDescent="0.3">
      <c r="A6" s="388"/>
      <c r="B6" s="499" t="s">
        <v>70</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1"/>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c r="DQ6" s="342"/>
      <c r="DR6" s="342"/>
      <c r="DS6" s="342"/>
      <c r="DT6" s="342"/>
      <c r="DU6" s="342"/>
      <c r="DV6" s="342"/>
      <c r="DW6" s="342"/>
      <c r="DX6" s="342"/>
      <c r="DY6" s="342"/>
      <c r="DZ6" s="342"/>
      <c r="EA6" s="342"/>
      <c r="EB6" s="342"/>
      <c r="EC6" s="342"/>
      <c r="ED6" s="342"/>
      <c r="EE6" s="342"/>
      <c r="EF6" s="342"/>
    </row>
    <row r="7" spans="1:136"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42"/>
      <c r="AX7" s="342"/>
      <c r="AY7" s="398"/>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row>
    <row r="8" spans="1:136" ht="15" customHeight="1" outlineLevel="1" thickBot="1" x14ac:dyDescent="0.3">
      <c r="A8" s="342"/>
      <c r="B8" s="399" t="s">
        <v>709</v>
      </c>
      <c r="C8" s="400"/>
      <c r="D8" s="342"/>
      <c r="E8" s="399" t="s">
        <v>710</v>
      </c>
      <c r="F8" s="493"/>
      <c r="G8" s="493"/>
      <c r="H8" s="493"/>
      <c r="I8" s="493"/>
      <c r="J8" s="400"/>
      <c r="K8" s="342"/>
      <c r="L8" s="342"/>
      <c r="M8" s="342"/>
      <c r="AU8" s="342"/>
      <c r="AV8" s="342"/>
      <c r="AW8" s="342"/>
      <c r="AX8" s="398"/>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342"/>
    </row>
    <row r="9" spans="1:136" ht="66.75" customHeight="1" outlineLevel="1" x14ac:dyDescent="0.25">
      <c r="A9" s="342"/>
      <c r="B9" s="269" t="s">
        <v>562</v>
      </c>
      <c r="C9" s="401"/>
      <c r="D9" s="342"/>
      <c r="E9" s="269" t="s">
        <v>553</v>
      </c>
      <c r="F9" s="270"/>
      <c r="G9" s="422" t="s">
        <v>55</v>
      </c>
      <c r="H9" s="270"/>
      <c r="I9" s="422" t="s">
        <v>56</v>
      </c>
      <c r="J9" s="401"/>
      <c r="M9" s="342"/>
      <c r="N9" s="502" t="s">
        <v>564</v>
      </c>
      <c r="O9" s="503"/>
      <c r="AU9" s="342"/>
      <c r="AV9" s="342"/>
      <c r="AW9" s="342"/>
      <c r="AX9" s="342"/>
      <c r="AY9" s="398"/>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row>
    <row r="10" spans="1:136" ht="16.5" customHeight="1" outlineLevel="1" thickBot="1" x14ac:dyDescent="0.3">
      <c r="A10" s="342"/>
      <c r="B10" s="408">
        <f>C16</f>
        <v>22.99</v>
      </c>
      <c r="C10" s="409" t="s">
        <v>1</v>
      </c>
      <c r="D10" s="342"/>
      <c r="E10" s="408">
        <f>E16</f>
        <v>22.99</v>
      </c>
      <c r="F10" s="410" t="s">
        <v>1</v>
      </c>
      <c r="G10" s="411">
        <f>G16</f>
        <v>0.49</v>
      </c>
      <c r="H10" s="410" t="s">
        <v>1</v>
      </c>
      <c r="I10" s="411">
        <f>E10-G10</f>
        <v>22.5</v>
      </c>
      <c r="J10" s="409" t="s">
        <v>1</v>
      </c>
      <c r="M10" s="342"/>
      <c r="N10" s="408">
        <f>IF(E10&lt;&gt;0,G10/E10*100,0)</f>
        <v>2.1313614615050023</v>
      </c>
      <c r="O10" s="409" t="s">
        <v>2</v>
      </c>
      <c r="S10" s="342"/>
      <c r="AU10" s="342"/>
      <c r="AV10" s="342"/>
      <c r="AW10" s="342"/>
      <c r="AX10" s="342"/>
      <c r="AY10" s="398"/>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row>
    <row r="11" spans="1:136" ht="15.75" thickBot="1" x14ac:dyDescent="0.3">
      <c r="A11" s="388"/>
      <c r="E11" s="342"/>
      <c r="F11" s="342"/>
      <c r="G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row>
    <row r="12" spans="1:136" ht="30" customHeight="1" thickBot="1" x14ac:dyDescent="0.3">
      <c r="A12" s="388"/>
      <c r="B12" s="499" t="s">
        <v>64</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1"/>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row>
    <row r="13" spans="1:136"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3"/>
      <c r="W13" s="413"/>
      <c r="X13" s="413"/>
      <c r="Y13" s="413"/>
      <c r="Z13" s="413"/>
      <c r="AA13" s="413"/>
      <c r="AB13" s="413"/>
      <c r="AC13" s="413"/>
      <c r="AD13" s="414"/>
      <c r="AF13" s="412"/>
      <c r="AG13" s="413"/>
      <c r="AH13" s="413"/>
      <c r="AI13" s="413"/>
      <c r="AJ13" s="413"/>
      <c r="AK13" s="413"/>
      <c r="AL13" s="413"/>
      <c r="AM13" s="413"/>
      <c r="AN13" s="413"/>
      <c r="AO13" s="413"/>
      <c r="AP13" s="413"/>
      <c r="AQ13" s="413"/>
      <c r="AR13" s="413"/>
      <c r="AS13" s="413"/>
      <c r="AT13" s="413"/>
      <c r="AU13" s="413"/>
      <c r="AV13" s="414"/>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row>
    <row r="14" spans="1:136"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289"/>
      <c r="W14" s="289"/>
      <c r="X14" s="289"/>
      <c r="Y14" s="289"/>
      <c r="Z14" s="289"/>
      <c r="AA14" s="289"/>
      <c r="AB14" s="289"/>
      <c r="AC14" s="289"/>
      <c r="AD14" s="419"/>
      <c r="AE14" s="420"/>
      <c r="AF14" s="418" t="s">
        <v>45</v>
      </c>
      <c r="AG14" s="289"/>
      <c r="AH14" s="289"/>
      <c r="AI14" s="289"/>
      <c r="AJ14" s="289"/>
      <c r="AK14" s="289"/>
      <c r="AL14" s="289"/>
      <c r="AM14" s="289"/>
      <c r="AN14" s="289"/>
      <c r="AO14" s="289"/>
      <c r="AP14" s="289"/>
      <c r="AQ14" s="289"/>
      <c r="AR14" s="289"/>
      <c r="AS14" s="289"/>
      <c r="AT14" s="289"/>
      <c r="AU14" s="289"/>
      <c r="AV14" s="419"/>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row>
    <row r="15" spans="1:136" ht="43.5" customHeight="1" outlineLevel="1" x14ac:dyDescent="0.25">
      <c r="A15" s="388"/>
      <c r="B15" s="421" t="s">
        <v>566</v>
      </c>
      <c r="C15" s="422" t="s">
        <v>559</v>
      </c>
      <c r="D15" s="270"/>
      <c r="E15" s="422" t="s">
        <v>590</v>
      </c>
      <c r="F15" s="270"/>
      <c r="G15" s="422" t="s">
        <v>563</v>
      </c>
      <c r="H15" s="270"/>
      <c r="I15" s="422" t="s">
        <v>558</v>
      </c>
      <c r="J15" s="270"/>
      <c r="K15" s="422" t="s">
        <v>564</v>
      </c>
      <c r="L15" s="401"/>
      <c r="M15" s="342"/>
      <c r="N15" s="487"/>
      <c r="O15" s="434"/>
      <c r="P15" s="434"/>
      <c r="Q15" s="434"/>
      <c r="R15" s="425"/>
      <c r="S15" s="422" t="s">
        <v>10</v>
      </c>
      <c r="T15" s="270"/>
      <c r="U15" s="422" t="s">
        <v>110</v>
      </c>
      <c r="V15" s="270"/>
      <c r="W15" s="425"/>
      <c r="X15" s="422" t="s">
        <v>204</v>
      </c>
      <c r="Y15" s="270"/>
      <c r="Z15" s="422" t="s">
        <v>203</v>
      </c>
      <c r="AA15" s="270"/>
      <c r="AB15" s="425"/>
      <c r="AC15" s="422" t="s">
        <v>205</v>
      </c>
      <c r="AD15" s="401"/>
      <c r="AE15" s="342"/>
      <c r="AF15" s="471"/>
      <c r="AG15" s="434"/>
      <c r="AH15" s="434"/>
      <c r="AI15" s="434"/>
      <c r="AJ15" s="425"/>
      <c r="AK15" s="422" t="s">
        <v>45</v>
      </c>
      <c r="AL15" s="270"/>
      <c r="AM15" s="422" t="s">
        <v>111</v>
      </c>
      <c r="AN15" s="270"/>
      <c r="AO15" s="425"/>
      <c r="AP15" s="422" t="s">
        <v>206</v>
      </c>
      <c r="AQ15" s="270"/>
      <c r="AR15" s="422" t="s">
        <v>207</v>
      </c>
      <c r="AS15" s="270"/>
      <c r="AT15" s="425"/>
      <c r="AU15" s="422" t="s">
        <v>208</v>
      </c>
      <c r="AV15" s="401"/>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row>
    <row r="16" spans="1:136" outlineLevel="1" x14ac:dyDescent="0.25">
      <c r="A16" s="388"/>
      <c r="B16" s="426"/>
      <c r="C16" s="302">
        <f>SUM(C18:C25)</f>
        <v>22.99</v>
      </c>
      <c r="D16" s="427" t="s">
        <v>1</v>
      </c>
      <c r="E16" s="302">
        <f>SUM(E18:E25)</f>
        <v>22.99</v>
      </c>
      <c r="F16" s="427" t="s">
        <v>1</v>
      </c>
      <c r="G16" s="302">
        <f>SUM(G18:G25)</f>
        <v>0.49</v>
      </c>
      <c r="H16" s="427" t="s">
        <v>1</v>
      </c>
      <c r="I16" s="302">
        <f>SUM(I18:I25)</f>
        <v>0.48</v>
      </c>
      <c r="J16" s="427" t="s">
        <v>1</v>
      </c>
      <c r="K16" s="302">
        <f>IF(E16&gt;0,G16/E16*100,"")</f>
        <v>2.1313614615050023</v>
      </c>
      <c r="L16" s="428" t="s">
        <v>2</v>
      </c>
      <c r="M16" s="342"/>
      <c r="N16" s="487"/>
      <c r="O16" s="434"/>
      <c r="P16" s="434"/>
      <c r="Q16" s="434"/>
      <c r="R16" s="425"/>
      <c r="S16" s="504"/>
      <c r="T16" s="427" t="s">
        <v>0</v>
      </c>
      <c r="U16" s="302">
        <f>'ETAPE 1'!P16</f>
        <v>47630</v>
      </c>
      <c r="V16" s="427" t="s">
        <v>6</v>
      </c>
      <c r="W16" s="425"/>
      <c r="X16" s="302">
        <f>U16</f>
        <v>47630</v>
      </c>
      <c r="Y16" s="427" t="s">
        <v>6</v>
      </c>
      <c r="Z16" s="302">
        <f>IF($E$10&lt;&gt;0,X16/$E$10,0)</f>
        <v>2071.7703349282297</v>
      </c>
      <c r="AA16" s="430" t="s">
        <v>72</v>
      </c>
      <c r="AB16" s="425"/>
      <c r="AC16" s="302">
        <f>G16*Z16</f>
        <v>1015.1674641148326</v>
      </c>
      <c r="AD16" s="428" t="s">
        <v>6</v>
      </c>
      <c r="AE16" s="342"/>
      <c r="AF16" s="471"/>
      <c r="AG16" s="434"/>
      <c r="AH16" s="434"/>
      <c r="AI16" s="434"/>
      <c r="AJ16" s="425"/>
      <c r="AK16" s="504"/>
      <c r="AL16" s="427" t="s">
        <v>20</v>
      </c>
      <c r="AM16" s="302">
        <f>'ETAPE 1'!Z16</f>
        <v>194.15207999999998</v>
      </c>
      <c r="AN16" s="427" t="s">
        <v>21</v>
      </c>
      <c r="AO16" s="425"/>
      <c r="AP16" s="302">
        <f>AM16</f>
        <v>194.15207999999998</v>
      </c>
      <c r="AQ16" s="427" t="s">
        <v>21</v>
      </c>
      <c r="AR16" s="302">
        <f>IF($E$10&lt;&gt;0,AP16/$E$10,0)</f>
        <v>8.4450665506742055</v>
      </c>
      <c r="AS16" s="427" t="s">
        <v>73</v>
      </c>
      <c r="AT16" s="425"/>
      <c r="AU16" s="302">
        <f>G16*AR16</f>
        <v>4.1380826098303602</v>
      </c>
      <c r="AV16" s="428" t="s">
        <v>21</v>
      </c>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row>
    <row r="17" spans="1:136" ht="6.75" customHeight="1" outlineLevel="1" x14ac:dyDescent="0.25">
      <c r="A17" s="388"/>
      <c r="B17" s="431"/>
      <c r="C17" s="420"/>
      <c r="D17" s="420"/>
      <c r="E17" s="420"/>
      <c r="F17" s="420"/>
      <c r="G17" s="420"/>
      <c r="H17" s="420"/>
      <c r="I17" s="420"/>
      <c r="J17" s="420"/>
      <c r="K17" s="420"/>
      <c r="L17" s="432"/>
      <c r="M17" s="420"/>
      <c r="N17" s="487"/>
      <c r="O17" s="434"/>
      <c r="P17" s="434"/>
      <c r="Q17" s="434"/>
      <c r="R17" s="420"/>
      <c r="S17" s="420"/>
      <c r="T17" s="420"/>
      <c r="U17" s="420"/>
      <c r="V17" s="420"/>
      <c r="W17" s="420"/>
      <c r="X17" s="420"/>
      <c r="Y17" s="420"/>
      <c r="Z17" s="433"/>
      <c r="AA17" s="433"/>
      <c r="AB17" s="433"/>
      <c r="AC17" s="420"/>
      <c r="AD17" s="432"/>
      <c r="AE17" s="388"/>
      <c r="AF17" s="487"/>
      <c r="AG17" s="434"/>
      <c r="AH17" s="434"/>
      <c r="AI17" s="434"/>
      <c r="AJ17" s="420"/>
      <c r="AK17" s="420"/>
      <c r="AL17" s="420"/>
      <c r="AM17" s="420"/>
      <c r="AN17" s="420"/>
      <c r="AO17" s="420"/>
      <c r="AP17" s="420"/>
      <c r="AQ17" s="420"/>
      <c r="AR17" s="420"/>
      <c r="AS17" s="420"/>
      <c r="AT17" s="420"/>
      <c r="AU17" s="420"/>
      <c r="AV17" s="43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row>
    <row r="18" spans="1:136" outlineLevel="1" x14ac:dyDescent="0.25">
      <c r="A18" s="388"/>
      <c r="B18" s="435" t="s">
        <v>791</v>
      </c>
      <c r="C18" s="505">
        <v>22.99</v>
      </c>
      <c r="D18" s="427" t="s">
        <v>1</v>
      </c>
      <c r="E18" s="506">
        <v>22.99</v>
      </c>
      <c r="F18" s="427" t="s">
        <v>1</v>
      </c>
      <c r="G18" s="506">
        <v>0.49</v>
      </c>
      <c r="H18" s="427" t="s">
        <v>1</v>
      </c>
      <c r="I18" s="506">
        <v>0.48</v>
      </c>
      <c r="J18" s="427" t="s">
        <v>1</v>
      </c>
      <c r="K18" s="302">
        <f>IF(E18&gt;0,G18/E18*100,"")</f>
        <v>2.1313614615050023</v>
      </c>
      <c r="L18" s="428" t="s">
        <v>2</v>
      </c>
      <c r="M18" s="420"/>
      <c r="N18" s="487"/>
      <c r="O18" s="434"/>
      <c r="P18" s="434"/>
      <c r="Q18" s="434"/>
      <c r="R18" s="438"/>
      <c r="S18" s="302">
        <f>IF(B18&lt;&gt;0,VLOOKUP(B18,GENERALITES!$B$21:$D$31,3,FALSE),"")</f>
        <v>1000</v>
      </c>
      <c r="T18" s="427" t="s">
        <v>0</v>
      </c>
      <c r="U18" s="438"/>
      <c r="V18" s="438"/>
      <c r="W18" s="438"/>
      <c r="X18" s="438"/>
      <c r="Y18" s="438"/>
      <c r="Z18" s="425"/>
      <c r="AA18" s="425"/>
      <c r="AB18" s="425"/>
      <c r="AC18" s="438"/>
      <c r="AD18" s="439"/>
      <c r="AE18" s="388"/>
      <c r="AF18" s="487"/>
      <c r="AG18" s="434"/>
      <c r="AH18" s="434"/>
      <c r="AI18" s="434"/>
      <c r="AJ18" s="438"/>
      <c r="AK18" s="302">
        <f>IF(B18&lt;&gt;0,VLOOKUP(B18,GENERALITES!$B$21:$N$31,12,FALSE),"")</f>
        <v>7.8599999999999994</v>
      </c>
      <c r="AL18" s="427" t="s">
        <v>20</v>
      </c>
      <c r="AM18" s="438"/>
      <c r="AN18" s="438"/>
      <c r="AO18" s="438"/>
      <c r="AP18" s="438"/>
      <c r="AQ18" s="438"/>
      <c r="AR18" s="425"/>
      <c r="AS18" s="425"/>
      <c r="AT18" s="425"/>
      <c r="AU18" s="438"/>
      <c r="AV18" s="439"/>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row>
    <row r="19" spans="1:136" outlineLevel="1" x14ac:dyDescent="0.25">
      <c r="A19" s="388"/>
      <c r="B19" s="435"/>
      <c r="C19" s="340"/>
      <c r="D19" s="427" t="s">
        <v>1</v>
      </c>
      <c r="E19" s="436"/>
      <c r="F19" s="427" t="s">
        <v>1</v>
      </c>
      <c r="G19" s="436"/>
      <c r="H19" s="427" t="s">
        <v>1</v>
      </c>
      <c r="I19" s="436"/>
      <c r="J19" s="427" t="s">
        <v>1</v>
      </c>
      <c r="K19" s="302" t="str">
        <f t="shared" ref="K19:K25" si="0">IF(E19&gt;0,G19/E19*100,"")</f>
        <v/>
      </c>
      <c r="L19" s="428" t="s">
        <v>2</v>
      </c>
      <c r="M19" s="420"/>
      <c r="N19" s="487"/>
      <c r="O19" s="434"/>
      <c r="P19" s="434"/>
      <c r="Q19" s="434"/>
      <c r="R19" s="438"/>
      <c r="S19" s="302" t="str">
        <f>IF(B19&lt;&gt;0,VLOOKUP(B19,GENERALITES!$B$21:$D$31,3,FALSE),"")</f>
        <v/>
      </c>
      <c r="T19" s="427" t="s">
        <v>0</v>
      </c>
      <c r="U19" s="438"/>
      <c r="V19" s="438"/>
      <c r="W19" s="438"/>
      <c r="X19" s="438"/>
      <c r="Y19" s="438"/>
      <c r="Z19" s="425"/>
      <c r="AA19" s="425"/>
      <c r="AB19" s="425"/>
      <c r="AC19" s="438"/>
      <c r="AD19" s="439"/>
      <c r="AE19" s="388"/>
      <c r="AF19" s="487"/>
      <c r="AG19" s="434"/>
      <c r="AH19" s="434"/>
      <c r="AI19" s="434"/>
      <c r="AJ19" s="438"/>
      <c r="AK19" s="302" t="str">
        <f>IF(B19&lt;&gt;0,VLOOKUP(B19,GENERALITES!$B$21:$N$31,12,FALSE),"")</f>
        <v/>
      </c>
      <c r="AL19" s="427" t="s">
        <v>20</v>
      </c>
      <c r="AM19" s="438"/>
      <c r="AN19" s="438"/>
      <c r="AO19" s="438"/>
      <c r="AP19" s="438"/>
      <c r="AQ19" s="438"/>
      <c r="AR19" s="425"/>
      <c r="AS19" s="425"/>
      <c r="AT19" s="425"/>
      <c r="AU19" s="438"/>
      <c r="AV19" s="439"/>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row>
    <row r="20" spans="1:136" outlineLevel="1" x14ac:dyDescent="0.25">
      <c r="A20" s="440"/>
      <c r="B20" s="435"/>
      <c r="C20" s="340"/>
      <c r="D20" s="427" t="s">
        <v>1</v>
      </c>
      <c r="E20" s="436"/>
      <c r="F20" s="427" t="s">
        <v>1</v>
      </c>
      <c r="G20" s="436"/>
      <c r="H20" s="427" t="s">
        <v>1</v>
      </c>
      <c r="I20" s="436"/>
      <c r="J20" s="427" t="s">
        <v>1</v>
      </c>
      <c r="K20" s="302" t="str">
        <f t="shared" si="0"/>
        <v/>
      </c>
      <c r="L20" s="428" t="s">
        <v>2</v>
      </c>
      <c r="M20" s="420"/>
      <c r="N20" s="487"/>
      <c r="O20" s="434"/>
      <c r="P20" s="434"/>
      <c r="Q20" s="434"/>
      <c r="R20" s="438"/>
      <c r="S20" s="302" t="str">
        <f>IF(B20&lt;&gt;0,VLOOKUP(B20,GENERALITES!$B$21:$D$31,3,FALSE),"")</f>
        <v/>
      </c>
      <c r="T20" s="427" t="s">
        <v>0</v>
      </c>
      <c r="U20" s="438"/>
      <c r="V20" s="438"/>
      <c r="W20" s="438"/>
      <c r="X20" s="438"/>
      <c r="Y20" s="438"/>
      <c r="Z20" s="425"/>
      <c r="AA20" s="425"/>
      <c r="AB20" s="425"/>
      <c r="AC20" s="438"/>
      <c r="AD20" s="439"/>
      <c r="AE20" s="388"/>
      <c r="AF20" s="487"/>
      <c r="AG20" s="434"/>
      <c r="AH20" s="434"/>
      <c r="AI20" s="434"/>
      <c r="AJ20" s="438"/>
      <c r="AK20" s="302" t="str">
        <f>IF(B20&lt;&gt;0,VLOOKUP(B20,GENERALITES!$B$21:$N$31,12,FALSE),"")</f>
        <v/>
      </c>
      <c r="AL20" s="427" t="s">
        <v>20</v>
      </c>
      <c r="AM20" s="438"/>
      <c r="AN20" s="438"/>
      <c r="AO20" s="438"/>
      <c r="AP20" s="438"/>
      <c r="AQ20" s="438"/>
      <c r="AR20" s="425"/>
      <c r="AS20" s="425"/>
      <c r="AT20" s="425"/>
      <c r="AU20" s="438"/>
      <c r="AV20" s="439"/>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row>
    <row r="21" spans="1:136" outlineLevel="1" x14ac:dyDescent="0.25">
      <c r="A21" s="440"/>
      <c r="B21" s="435"/>
      <c r="C21" s="340"/>
      <c r="D21" s="427" t="s">
        <v>1</v>
      </c>
      <c r="E21" s="436"/>
      <c r="F21" s="427" t="s">
        <v>1</v>
      </c>
      <c r="G21" s="436"/>
      <c r="H21" s="427" t="s">
        <v>1</v>
      </c>
      <c r="I21" s="436"/>
      <c r="J21" s="427" t="s">
        <v>1</v>
      </c>
      <c r="K21" s="302" t="str">
        <f t="shared" si="0"/>
        <v/>
      </c>
      <c r="L21" s="428" t="s">
        <v>2</v>
      </c>
      <c r="M21" s="420"/>
      <c r="N21" s="487"/>
      <c r="O21" s="434"/>
      <c r="P21" s="434"/>
      <c r="Q21" s="434"/>
      <c r="R21" s="438"/>
      <c r="S21" s="302" t="str">
        <f>IF(B21&lt;&gt;0,VLOOKUP(B21,GENERALITES!$B$21:$D$31,3,FALSE),"")</f>
        <v/>
      </c>
      <c r="T21" s="427" t="s">
        <v>0</v>
      </c>
      <c r="U21" s="438"/>
      <c r="V21" s="438"/>
      <c r="W21" s="438"/>
      <c r="X21" s="438"/>
      <c r="Y21" s="438"/>
      <c r="Z21" s="425"/>
      <c r="AA21" s="425"/>
      <c r="AB21" s="425"/>
      <c r="AC21" s="438"/>
      <c r="AD21" s="439"/>
      <c r="AE21" s="388"/>
      <c r="AF21" s="487"/>
      <c r="AG21" s="434"/>
      <c r="AH21" s="434"/>
      <c r="AI21" s="434"/>
      <c r="AJ21" s="438"/>
      <c r="AK21" s="302" t="str">
        <f>IF(B21&lt;&gt;0,VLOOKUP(B21,GENERALITES!$B$21:$N$31,12,FALSE),"")</f>
        <v/>
      </c>
      <c r="AL21" s="427" t="s">
        <v>20</v>
      </c>
      <c r="AM21" s="438"/>
      <c r="AN21" s="438"/>
      <c r="AO21" s="438"/>
      <c r="AP21" s="438"/>
      <c r="AQ21" s="438"/>
      <c r="AR21" s="425"/>
      <c r="AS21" s="425"/>
      <c r="AT21" s="425"/>
      <c r="AU21" s="438"/>
      <c r="AV21" s="439"/>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row>
    <row r="22" spans="1:136" outlineLevel="1" x14ac:dyDescent="0.25">
      <c r="A22" s="440"/>
      <c r="B22" s="435"/>
      <c r="C22" s="340"/>
      <c r="D22" s="427" t="s">
        <v>1</v>
      </c>
      <c r="E22" s="436"/>
      <c r="F22" s="427" t="s">
        <v>1</v>
      </c>
      <c r="G22" s="436"/>
      <c r="H22" s="427" t="s">
        <v>1</v>
      </c>
      <c r="I22" s="436"/>
      <c r="J22" s="427" t="s">
        <v>1</v>
      </c>
      <c r="K22" s="302" t="str">
        <f t="shared" si="0"/>
        <v/>
      </c>
      <c r="L22" s="428" t="s">
        <v>2</v>
      </c>
      <c r="M22" s="420"/>
      <c r="N22" s="487"/>
      <c r="O22" s="434"/>
      <c r="P22" s="434"/>
      <c r="Q22" s="434"/>
      <c r="R22" s="438"/>
      <c r="S22" s="302" t="str">
        <f>IF(B22&lt;&gt;0,VLOOKUP(B22,GENERALITES!$B$21:$D$31,3,FALSE),"")</f>
        <v/>
      </c>
      <c r="T22" s="427" t="s">
        <v>0</v>
      </c>
      <c r="U22" s="438"/>
      <c r="V22" s="438"/>
      <c r="W22" s="438"/>
      <c r="X22" s="438"/>
      <c r="Y22" s="438"/>
      <c r="Z22" s="425"/>
      <c r="AA22" s="425"/>
      <c r="AB22" s="425"/>
      <c r="AC22" s="438"/>
      <c r="AD22" s="439"/>
      <c r="AE22" s="388"/>
      <c r="AF22" s="487"/>
      <c r="AG22" s="434"/>
      <c r="AH22" s="434"/>
      <c r="AI22" s="434"/>
      <c r="AJ22" s="438"/>
      <c r="AK22" s="302" t="str">
        <f>IF(B22&lt;&gt;0,VLOOKUP(B22,GENERALITES!$B$21:$N$31,12,FALSE),"")</f>
        <v/>
      </c>
      <c r="AL22" s="427" t="s">
        <v>20</v>
      </c>
      <c r="AM22" s="438"/>
      <c r="AN22" s="438"/>
      <c r="AO22" s="438"/>
      <c r="AP22" s="438"/>
      <c r="AQ22" s="438"/>
      <c r="AR22" s="425"/>
      <c r="AS22" s="425"/>
      <c r="AT22" s="425"/>
      <c r="AU22" s="438"/>
      <c r="AV22" s="439"/>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row>
    <row r="23" spans="1:136" outlineLevel="1" x14ac:dyDescent="0.25">
      <c r="A23" s="440"/>
      <c r="B23" s="435"/>
      <c r="C23" s="340"/>
      <c r="D23" s="427" t="s">
        <v>1</v>
      </c>
      <c r="E23" s="436"/>
      <c r="F23" s="427" t="s">
        <v>1</v>
      </c>
      <c r="G23" s="436"/>
      <c r="H23" s="427" t="s">
        <v>1</v>
      </c>
      <c r="I23" s="436"/>
      <c r="J23" s="427" t="s">
        <v>1</v>
      </c>
      <c r="K23" s="302" t="str">
        <f t="shared" si="0"/>
        <v/>
      </c>
      <c r="L23" s="428" t="s">
        <v>2</v>
      </c>
      <c r="M23" s="420"/>
      <c r="N23" s="487"/>
      <c r="O23" s="434"/>
      <c r="P23" s="434"/>
      <c r="Q23" s="434"/>
      <c r="R23" s="438"/>
      <c r="S23" s="302" t="str">
        <f>IF(B23&lt;&gt;0,VLOOKUP(B23,GENERALITES!$B$21:$D$31,3,FALSE),"")</f>
        <v/>
      </c>
      <c r="T23" s="427" t="s">
        <v>0</v>
      </c>
      <c r="U23" s="438"/>
      <c r="V23" s="438"/>
      <c r="W23" s="438"/>
      <c r="X23" s="438"/>
      <c r="Y23" s="438"/>
      <c r="Z23" s="425"/>
      <c r="AA23" s="425"/>
      <c r="AB23" s="425"/>
      <c r="AC23" s="438"/>
      <c r="AD23" s="439"/>
      <c r="AE23" s="388"/>
      <c r="AF23" s="487"/>
      <c r="AG23" s="434"/>
      <c r="AH23" s="434"/>
      <c r="AI23" s="434"/>
      <c r="AJ23" s="438"/>
      <c r="AK23" s="302" t="str">
        <f>IF(B23&lt;&gt;0,VLOOKUP(B23,GENERALITES!$B$21:$N$31,12,FALSE),"")</f>
        <v/>
      </c>
      <c r="AL23" s="427" t="s">
        <v>20</v>
      </c>
      <c r="AM23" s="438"/>
      <c r="AN23" s="438"/>
      <c r="AO23" s="438"/>
      <c r="AP23" s="438"/>
      <c r="AQ23" s="438"/>
      <c r="AR23" s="425"/>
      <c r="AS23" s="425"/>
      <c r="AT23" s="425"/>
      <c r="AU23" s="438"/>
      <c r="AV23" s="439"/>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row>
    <row r="24" spans="1:136" outlineLevel="1" x14ac:dyDescent="0.25">
      <c r="A24" s="440"/>
      <c r="B24" s="435"/>
      <c r="C24" s="340"/>
      <c r="D24" s="427" t="s">
        <v>1</v>
      </c>
      <c r="E24" s="436"/>
      <c r="F24" s="427" t="s">
        <v>1</v>
      </c>
      <c r="G24" s="436"/>
      <c r="H24" s="427" t="s">
        <v>1</v>
      </c>
      <c r="I24" s="436"/>
      <c r="J24" s="427" t="s">
        <v>1</v>
      </c>
      <c r="K24" s="302" t="str">
        <f t="shared" si="0"/>
        <v/>
      </c>
      <c r="L24" s="428" t="s">
        <v>2</v>
      </c>
      <c r="M24" s="420"/>
      <c r="N24" s="487"/>
      <c r="O24" s="434"/>
      <c r="P24" s="434"/>
      <c r="Q24" s="434"/>
      <c r="R24" s="438"/>
      <c r="S24" s="302" t="str">
        <f>IF(B24&lt;&gt;0,VLOOKUP(B24,GENERALITES!$B$21:$D$31,3,FALSE),"")</f>
        <v/>
      </c>
      <c r="T24" s="427" t="s">
        <v>0</v>
      </c>
      <c r="U24" s="438"/>
      <c r="V24" s="438"/>
      <c r="W24" s="438"/>
      <c r="X24" s="438"/>
      <c r="Y24" s="438"/>
      <c r="Z24" s="425"/>
      <c r="AA24" s="425"/>
      <c r="AB24" s="425"/>
      <c r="AC24" s="438"/>
      <c r="AD24" s="439"/>
      <c r="AE24" s="388"/>
      <c r="AF24" s="487"/>
      <c r="AG24" s="434"/>
      <c r="AH24" s="434"/>
      <c r="AI24" s="434"/>
      <c r="AJ24" s="438"/>
      <c r="AK24" s="302" t="str">
        <f>IF(B24&lt;&gt;0,VLOOKUP(B24,GENERALITES!$B$21:$N$31,12,FALSE),"")</f>
        <v/>
      </c>
      <c r="AL24" s="427" t="s">
        <v>20</v>
      </c>
      <c r="AM24" s="438"/>
      <c r="AN24" s="438"/>
      <c r="AO24" s="438"/>
      <c r="AP24" s="438"/>
      <c r="AQ24" s="438"/>
      <c r="AR24" s="425"/>
      <c r="AS24" s="425"/>
      <c r="AT24" s="425"/>
      <c r="AU24" s="438"/>
      <c r="AV24" s="439"/>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row>
    <row r="25" spans="1:136" outlineLevel="1" x14ac:dyDescent="0.25">
      <c r="A25" s="440"/>
      <c r="B25" s="435"/>
      <c r="C25" s="340"/>
      <c r="D25" s="427" t="s">
        <v>1</v>
      </c>
      <c r="E25" s="436"/>
      <c r="F25" s="427" t="s">
        <v>1</v>
      </c>
      <c r="G25" s="436"/>
      <c r="H25" s="427" t="s">
        <v>1</v>
      </c>
      <c r="I25" s="436"/>
      <c r="J25" s="427" t="s">
        <v>1</v>
      </c>
      <c r="K25" s="302" t="str">
        <f t="shared" si="0"/>
        <v/>
      </c>
      <c r="L25" s="428" t="s">
        <v>2</v>
      </c>
      <c r="M25" s="420"/>
      <c r="N25" s="487"/>
      <c r="O25" s="434"/>
      <c r="P25" s="434"/>
      <c r="Q25" s="434"/>
      <c r="R25" s="438"/>
      <c r="S25" s="302" t="str">
        <f>IF(B25&lt;&gt;0,VLOOKUP(B25,GENERALITES!$B$21:$D$31,3,FALSE),"")</f>
        <v/>
      </c>
      <c r="T25" s="427" t="s">
        <v>0</v>
      </c>
      <c r="U25" s="438"/>
      <c r="V25" s="438"/>
      <c r="W25" s="438"/>
      <c r="X25" s="438"/>
      <c r="Y25" s="438"/>
      <c r="Z25" s="425"/>
      <c r="AA25" s="425"/>
      <c r="AB25" s="425"/>
      <c r="AC25" s="438"/>
      <c r="AD25" s="439"/>
      <c r="AE25" s="388"/>
      <c r="AF25" s="487"/>
      <c r="AG25" s="434"/>
      <c r="AH25" s="434"/>
      <c r="AI25" s="434"/>
      <c r="AJ25" s="420"/>
      <c r="AK25" s="302" t="str">
        <f>IF(B25&lt;&gt;0,VLOOKUP(B25,GENERALITES!$B$21:$N$31,12,FALSE),"")</f>
        <v/>
      </c>
      <c r="AL25" s="427" t="s">
        <v>20</v>
      </c>
      <c r="AM25" s="420"/>
      <c r="AN25" s="420"/>
      <c r="AO25" s="420"/>
      <c r="AP25" s="420"/>
      <c r="AQ25" s="420"/>
      <c r="AR25" s="425"/>
      <c r="AS25" s="425"/>
      <c r="AT25" s="425"/>
      <c r="AU25" s="420"/>
      <c r="AV25" s="432"/>
      <c r="AW25" s="388"/>
      <c r="AX25" s="342"/>
      <c r="AY25" s="342"/>
      <c r="BD25" s="342"/>
      <c r="BE25" s="342"/>
      <c r="BF25" s="342"/>
      <c r="BG25" s="342"/>
      <c r="BH25" s="342"/>
      <c r="BI25" s="342"/>
      <c r="BJ25" s="342"/>
      <c r="BK25" s="342"/>
      <c r="BL25" s="342"/>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row>
    <row r="26" spans="1:136" ht="15.75" thickBot="1" x14ac:dyDescent="0.3">
      <c r="A26" s="440"/>
      <c r="B26" s="477"/>
      <c r="C26" s="478"/>
      <c r="D26" s="478"/>
      <c r="E26" s="478"/>
      <c r="F26" s="478"/>
      <c r="G26" s="478"/>
      <c r="H26" s="478"/>
      <c r="I26" s="478"/>
      <c r="J26" s="478"/>
      <c r="K26" s="478"/>
      <c r="L26" s="479"/>
      <c r="M26" s="440"/>
      <c r="N26" s="477"/>
      <c r="O26" s="478"/>
      <c r="P26" s="478"/>
      <c r="Q26" s="478"/>
      <c r="R26" s="478"/>
      <c r="S26" s="478"/>
      <c r="T26" s="478"/>
      <c r="U26" s="478"/>
      <c r="V26" s="478"/>
      <c r="W26" s="478"/>
      <c r="X26" s="478"/>
      <c r="Y26" s="478"/>
      <c r="Z26" s="478"/>
      <c r="AA26" s="478"/>
      <c r="AB26" s="478"/>
      <c r="AC26" s="478"/>
      <c r="AD26" s="479"/>
      <c r="AE26" s="440"/>
      <c r="AF26" s="444"/>
      <c r="AG26" s="445"/>
      <c r="AH26" s="445"/>
      <c r="AI26" s="445"/>
      <c r="AJ26" s="445"/>
      <c r="AK26" s="445"/>
      <c r="AL26" s="445"/>
      <c r="AM26" s="445"/>
      <c r="AN26" s="445"/>
      <c r="AO26" s="445"/>
      <c r="AP26" s="445"/>
      <c r="AQ26" s="445"/>
      <c r="AR26" s="445"/>
      <c r="AS26" s="445"/>
      <c r="AT26" s="445"/>
      <c r="AU26" s="445"/>
      <c r="AV26" s="446"/>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row>
    <row r="27" spans="1:136" ht="30" customHeight="1" thickBot="1" x14ac:dyDescent="0.3">
      <c r="A27" s="388"/>
      <c r="B27" s="499" t="s">
        <v>63</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1"/>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row>
    <row r="28" spans="1:136" outlineLevel="1" x14ac:dyDescent="0.25">
      <c r="B28" s="412"/>
      <c r="C28" s="413"/>
      <c r="D28" s="413"/>
      <c r="E28" s="413"/>
      <c r="F28" s="413"/>
      <c r="G28" s="413"/>
      <c r="H28" s="413"/>
      <c r="I28" s="413"/>
      <c r="J28" s="413"/>
      <c r="K28" s="413"/>
      <c r="L28" s="414"/>
      <c r="N28" s="412"/>
      <c r="O28" s="413"/>
      <c r="P28" s="413"/>
      <c r="Q28" s="413"/>
      <c r="R28" s="413"/>
      <c r="S28" s="413"/>
      <c r="T28" s="413"/>
      <c r="U28" s="413"/>
      <c r="V28" s="413"/>
      <c r="W28" s="413"/>
      <c r="X28" s="413"/>
      <c r="Y28" s="413"/>
      <c r="Z28" s="413"/>
      <c r="AA28" s="413"/>
      <c r="AB28" s="413"/>
      <c r="AC28" s="413"/>
      <c r="AD28" s="414"/>
      <c r="AF28" s="412"/>
      <c r="AG28" s="413"/>
      <c r="AH28" s="413"/>
      <c r="AI28" s="413"/>
      <c r="AJ28" s="413"/>
      <c r="AK28" s="413"/>
      <c r="AL28" s="413"/>
      <c r="AM28" s="413"/>
      <c r="AN28" s="413"/>
      <c r="AO28" s="413"/>
      <c r="AP28" s="413"/>
      <c r="AQ28" s="413"/>
      <c r="AR28" s="413"/>
      <c r="AS28" s="413"/>
      <c r="AT28" s="413"/>
      <c r="AU28" s="413"/>
      <c r="AV28" s="414"/>
      <c r="AW28" s="388"/>
      <c r="AX28" s="388"/>
      <c r="AY28" s="388"/>
      <c r="AZ28" s="388"/>
      <c r="BA28" s="388"/>
      <c r="BB28" s="388"/>
      <c r="BC28" s="388"/>
      <c r="BD28" s="342"/>
      <c r="BE28" s="342"/>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row>
    <row r="29" spans="1:136"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289"/>
      <c r="W29" s="289"/>
      <c r="X29" s="289"/>
      <c r="Y29" s="289"/>
      <c r="Z29" s="289"/>
      <c r="AA29" s="289"/>
      <c r="AB29" s="289"/>
      <c r="AC29" s="289"/>
      <c r="AD29" s="419"/>
      <c r="AE29" s="420"/>
      <c r="AF29" s="418" t="s">
        <v>54</v>
      </c>
      <c r="AG29" s="289"/>
      <c r="AH29" s="289"/>
      <c r="AI29" s="289"/>
      <c r="AJ29" s="289"/>
      <c r="AK29" s="289"/>
      <c r="AL29" s="289"/>
      <c r="AM29" s="289"/>
      <c r="AN29" s="289"/>
      <c r="AO29" s="289"/>
      <c r="AP29" s="289"/>
      <c r="AQ29" s="289"/>
      <c r="AR29" s="289"/>
      <c r="AS29" s="289"/>
      <c r="AT29" s="289"/>
      <c r="AU29" s="289"/>
      <c r="AV29" s="419"/>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row>
    <row r="30" spans="1:136" ht="43.5" customHeight="1" outlineLevel="1" x14ac:dyDescent="0.25">
      <c r="A30" s="388"/>
      <c r="B30" s="421" t="s">
        <v>170</v>
      </c>
      <c r="C30" s="425"/>
      <c r="D30" s="425"/>
      <c r="E30" s="425"/>
      <c r="F30" s="425"/>
      <c r="G30" s="422" t="s">
        <v>171</v>
      </c>
      <c r="H30" s="270"/>
      <c r="I30" s="422" t="s">
        <v>172</v>
      </c>
      <c r="J30" s="447"/>
      <c r="K30" s="447"/>
      <c r="L30" s="401"/>
      <c r="M30" s="342"/>
      <c r="N30" s="269" t="s">
        <v>77</v>
      </c>
      <c r="O30" s="270"/>
      <c r="P30" s="422" t="s">
        <v>183</v>
      </c>
      <c r="Q30" s="270"/>
      <c r="R30" s="425"/>
      <c r="S30" s="422" t="s">
        <v>80</v>
      </c>
      <c r="T30" s="270"/>
      <c r="U30" s="422" t="s">
        <v>81</v>
      </c>
      <c r="V30" s="270"/>
      <c r="W30" s="425"/>
      <c r="X30" s="422" t="s">
        <v>184</v>
      </c>
      <c r="Y30" s="270"/>
      <c r="Z30" s="422" t="s">
        <v>185</v>
      </c>
      <c r="AA30" s="270"/>
      <c r="AB30" s="425"/>
      <c r="AC30" s="422" t="s">
        <v>186</v>
      </c>
      <c r="AD30" s="401"/>
      <c r="AE30" s="420"/>
      <c r="AF30" s="269" t="s">
        <v>54</v>
      </c>
      <c r="AG30" s="270"/>
      <c r="AH30" s="422" t="s">
        <v>94</v>
      </c>
      <c r="AI30" s="270"/>
      <c r="AJ30" s="425"/>
      <c r="AK30" s="422" t="s">
        <v>89</v>
      </c>
      <c r="AL30" s="270"/>
      <c r="AM30" s="422" t="s">
        <v>76</v>
      </c>
      <c r="AN30" s="270"/>
      <c r="AO30" s="425"/>
      <c r="AP30" s="422" t="s">
        <v>209</v>
      </c>
      <c r="AQ30" s="270"/>
      <c r="AR30" s="422" t="s">
        <v>210</v>
      </c>
      <c r="AS30" s="270"/>
      <c r="AT30" s="425"/>
      <c r="AU30" s="422" t="s">
        <v>211</v>
      </c>
      <c r="AV30" s="401"/>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row>
    <row r="31" spans="1:136" outlineLevel="1" x14ac:dyDescent="0.25">
      <c r="B31" s="426"/>
      <c r="C31" s="425"/>
      <c r="D31" s="425"/>
      <c r="E31" s="425"/>
      <c r="F31" s="425"/>
      <c r="G31" s="302">
        <f>SUM(G33:G38)</f>
        <v>0</v>
      </c>
      <c r="H31" s="427" t="s">
        <v>1</v>
      </c>
      <c r="I31" s="507"/>
      <c r="J31" s="449" t="s">
        <v>2</v>
      </c>
      <c r="K31" s="302">
        <f>SUM(K33:K38)</f>
        <v>0</v>
      </c>
      <c r="L31" s="428" t="s">
        <v>1</v>
      </c>
      <c r="M31" s="342"/>
      <c r="N31" s="450"/>
      <c r="O31" s="427" t="s">
        <v>0</v>
      </c>
      <c r="P31" s="302">
        <f>SUMPRODUCT(G33:G38,N33:N38)</f>
        <v>0</v>
      </c>
      <c r="Q31" s="427" t="s">
        <v>6</v>
      </c>
      <c r="R31" s="425"/>
      <c r="S31" s="302">
        <f>'ETAPE 1'!R31</f>
        <v>73.739460370994934</v>
      </c>
      <c r="T31" s="427" t="s">
        <v>72</v>
      </c>
      <c r="U31" s="302">
        <f>S31*$B$10</f>
        <v>1695.2701939291735</v>
      </c>
      <c r="V31" s="427" t="s">
        <v>6</v>
      </c>
      <c r="W31" s="425"/>
      <c r="X31" s="302">
        <f>P31+U31</f>
        <v>1695.2701939291735</v>
      </c>
      <c r="Y31" s="427" t="s">
        <v>6</v>
      </c>
      <c r="Z31" s="302">
        <f>IF($E$10&lt;&gt;0,X31/$E$10,0)</f>
        <v>73.739460370994934</v>
      </c>
      <c r="AA31" s="427" t="s">
        <v>72</v>
      </c>
      <c r="AB31" s="425"/>
      <c r="AC31" s="302">
        <f>$N$10/100*U31+SUMPRODUCT(K33:K38,N33:N38)</f>
        <v>36.132335581787522</v>
      </c>
      <c r="AD31" s="428" t="s">
        <v>6</v>
      </c>
      <c r="AE31" s="388"/>
      <c r="AF31" s="450"/>
      <c r="AG31" s="427" t="s">
        <v>20</v>
      </c>
      <c r="AH31" s="302">
        <f>SUMPRODUCT(G33:G38,AF33:AF38)</f>
        <v>0</v>
      </c>
      <c r="AI31" s="427" t="s">
        <v>21</v>
      </c>
      <c r="AJ31" s="425"/>
      <c r="AK31" s="302">
        <f>'ETAPE 1'!AB31</f>
        <v>5.916441821247892E-2</v>
      </c>
      <c r="AL31" s="427" t="s">
        <v>73</v>
      </c>
      <c r="AM31" s="448">
        <f>AK31*$B$10</f>
        <v>1.3601899747048902</v>
      </c>
      <c r="AN31" s="427" t="s">
        <v>21</v>
      </c>
      <c r="AO31" s="425"/>
      <c r="AP31" s="302">
        <f>AH31+AM31</f>
        <v>1.3601899747048902</v>
      </c>
      <c r="AQ31" s="427" t="s">
        <v>21</v>
      </c>
      <c r="AR31" s="302">
        <f>IF($E$10&lt;&gt;0,AP31/$E$10,0)</f>
        <v>5.916441821247892E-2</v>
      </c>
      <c r="AS31" s="427" t="s">
        <v>73</v>
      </c>
      <c r="AT31" s="425"/>
      <c r="AU31" s="302">
        <f>$N$10/100*AM31+SUMPRODUCT(K33:K38,AF33:AF38)</f>
        <v>2.899056492411467E-2</v>
      </c>
      <c r="AV31" s="428" t="s">
        <v>21</v>
      </c>
      <c r="AW31" s="388"/>
      <c r="AX31" s="342"/>
      <c r="AY31" s="342"/>
      <c r="AZ31" s="342"/>
      <c r="BA31" s="342"/>
      <c r="BB31" s="342"/>
      <c r="BC31" s="342"/>
      <c r="BD31" s="342"/>
      <c r="BE31" s="342"/>
      <c r="BF31" s="342"/>
      <c r="BG31" s="342"/>
      <c r="BH31" s="342"/>
      <c r="BI31" s="342"/>
      <c r="BJ31" s="342"/>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row>
    <row r="32" spans="1:136" ht="6.75" customHeight="1" outlineLevel="1" x14ac:dyDescent="0.25">
      <c r="A32" s="388"/>
      <c r="B32" s="431"/>
      <c r="C32" s="420"/>
      <c r="D32" s="420"/>
      <c r="E32" s="420"/>
      <c r="F32" s="420"/>
      <c r="G32" s="420"/>
      <c r="H32" s="420"/>
      <c r="I32" s="434"/>
      <c r="J32" s="434"/>
      <c r="K32" s="434"/>
      <c r="L32" s="451"/>
      <c r="M32" s="342"/>
      <c r="N32" s="431"/>
      <c r="O32" s="420"/>
      <c r="P32" s="420"/>
      <c r="Q32" s="420"/>
      <c r="R32" s="420"/>
      <c r="S32" s="420"/>
      <c r="T32" s="420"/>
      <c r="U32" s="420"/>
      <c r="V32" s="420"/>
      <c r="W32" s="420"/>
      <c r="X32" s="420"/>
      <c r="Y32" s="420"/>
      <c r="Z32" s="433"/>
      <c r="AA32" s="433"/>
      <c r="AB32" s="433"/>
      <c r="AC32" s="420"/>
      <c r="AD32" s="432"/>
      <c r="AE32" s="388"/>
      <c r="AF32" s="431"/>
      <c r="AG32" s="420"/>
      <c r="AH32" s="420"/>
      <c r="AI32" s="420"/>
      <c r="AJ32" s="420"/>
      <c r="AK32" s="420"/>
      <c r="AL32" s="420"/>
      <c r="AM32" s="420"/>
      <c r="AN32" s="420"/>
      <c r="AO32" s="420"/>
      <c r="AP32" s="420"/>
      <c r="AQ32" s="420"/>
      <c r="AR32" s="420"/>
      <c r="AS32" s="420"/>
      <c r="AT32" s="420"/>
      <c r="AU32" s="420"/>
      <c r="AV32" s="43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row>
    <row r="33" spans="1:136" outlineLevel="1" x14ac:dyDescent="0.25">
      <c r="B33" s="435"/>
      <c r="C33" s="425"/>
      <c r="D33" s="425"/>
      <c r="E33" s="425"/>
      <c r="F33" s="425"/>
      <c r="G33" s="436"/>
      <c r="H33" s="427" t="s">
        <v>1</v>
      </c>
      <c r="I33" s="452"/>
      <c r="J33" s="449" t="s">
        <v>2</v>
      </c>
      <c r="K33" s="302">
        <f>G33*I33/100</f>
        <v>0</v>
      </c>
      <c r="L33" s="428" t="s">
        <v>1</v>
      </c>
      <c r="M33" s="342"/>
      <c r="N33" s="437" t="str">
        <f>IF(B33&lt;&gt;0,VLOOKUP(B33,GENERALITES!$B$36:$D$41,3,FALSE),"")</f>
        <v/>
      </c>
      <c r="O33" s="427" t="s">
        <v>0</v>
      </c>
      <c r="P33" s="438"/>
      <c r="Q33" s="438"/>
      <c r="R33" s="438"/>
      <c r="S33" s="438"/>
      <c r="T33" s="438"/>
      <c r="U33" s="438"/>
      <c r="V33" s="438"/>
      <c r="W33" s="438"/>
      <c r="X33" s="438"/>
      <c r="Y33" s="438"/>
      <c r="Z33" s="425"/>
      <c r="AA33" s="425"/>
      <c r="AB33" s="425"/>
      <c r="AC33" s="438"/>
      <c r="AD33" s="439"/>
      <c r="AE33" s="388"/>
      <c r="AF33" s="437" t="str">
        <f>IF(B33&lt;&gt;0,VLOOKUP(B33,GENERALITES!$B$36:$N$41,12,FALSE),"")</f>
        <v/>
      </c>
      <c r="AG33" s="427" t="s">
        <v>20</v>
      </c>
      <c r="AH33" s="438"/>
      <c r="AI33" s="438"/>
      <c r="AJ33" s="438"/>
      <c r="AK33" s="438"/>
      <c r="AL33" s="438"/>
      <c r="AM33" s="438"/>
      <c r="AN33" s="438"/>
      <c r="AO33" s="438"/>
      <c r="AP33" s="438"/>
      <c r="AQ33" s="438"/>
      <c r="AR33" s="425"/>
      <c r="AS33" s="425"/>
      <c r="AT33" s="425"/>
      <c r="AU33" s="438"/>
      <c r="AV33" s="439"/>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row>
    <row r="34" spans="1:136" outlineLevel="1" x14ac:dyDescent="0.25">
      <c r="B34" s="435"/>
      <c r="C34" s="425"/>
      <c r="D34" s="425"/>
      <c r="E34" s="425"/>
      <c r="F34" s="425"/>
      <c r="G34" s="436"/>
      <c r="H34" s="427" t="s">
        <v>1</v>
      </c>
      <c r="I34" s="452"/>
      <c r="J34" s="449" t="s">
        <v>2</v>
      </c>
      <c r="K34" s="302">
        <f>G34*I34/100</f>
        <v>0</v>
      </c>
      <c r="L34" s="428" t="s">
        <v>1</v>
      </c>
      <c r="M34" s="342"/>
      <c r="N34" s="437" t="str">
        <f>IF(B34&lt;&gt;0,VLOOKUP(B34,GENERALITES!$B$36:$D$41,3,FALSE),"")</f>
        <v/>
      </c>
      <c r="O34" s="427" t="s">
        <v>0</v>
      </c>
      <c r="P34" s="438"/>
      <c r="Q34" s="438"/>
      <c r="R34" s="438"/>
      <c r="S34" s="438"/>
      <c r="T34" s="438"/>
      <c r="U34" s="438"/>
      <c r="V34" s="438"/>
      <c r="W34" s="438"/>
      <c r="X34" s="438"/>
      <c r="Y34" s="438"/>
      <c r="Z34" s="425"/>
      <c r="AA34" s="425"/>
      <c r="AB34" s="425"/>
      <c r="AC34" s="438"/>
      <c r="AD34" s="439"/>
      <c r="AE34" s="388"/>
      <c r="AF34" s="437" t="str">
        <f>IF(B34&lt;&gt;0,VLOOKUP(B34,GENERALITES!$B$36:$N$41,12,FALSE),"")</f>
        <v/>
      </c>
      <c r="AG34" s="427" t="s">
        <v>20</v>
      </c>
      <c r="AH34" s="438"/>
      <c r="AI34" s="438"/>
      <c r="AJ34" s="438"/>
      <c r="AK34" s="438"/>
      <c r="AL34" s="438"/>
      <c r="AM34" s="438"/>
      <c r="AN34" s="438"/>
      <c r="AO34" s="438"/>
      <c r="AP34" s="438"/>
      <c r="AQ34" s="438"/>
      <c r="AR34" s="425"/>
      <c r="AS34" s="425"/>
      <c r="AT34" s="425"/>
      <c r="AU34" s="438"/>
      <c r="AV34" s="439"/>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row>
    <row r="35" spans="1:136" outlineLevel="1" x14ac:dyDescent="0.25">
      <c r="B35" s="435"/>
      <c r="C35" s="425"/>
      <c r="D35" s="425"/>
      <c r="E35" s="425"/>
      <c r="F35" s="425"/>
      <c r="G35" s="436"/>
      <c r="H35" s="427" t="s">
        <v>1</v>
      </c>
      <c r="I35" s="452"/>
      <c r="J35" s="449" t="s">
        <v>2</v>
      </c>
      <c r="K35" s="302">
        <f t="shared" ref="K35:K38" si="1">G35*I35/100</f>
        <v>0</v>
      </c>
      <c r="L35" s="428" t="s">
        <v>1</v>
      </c>
      <c r="M35" s="342"/>
      <c r="N35" s="437" t="str">
        <f>IF(B35&lt;&gt;0,VLOOKUP(B35,GENERALITES!$B$36:$D$41,3,FALSE),"")</f>
        <v/>
      </c>
      <c r="O35" s="427" t="s">
        <v>0</v>
      </c>
      <c r="P35" s="438"/>
      <c r="Q35" s="438"/>
      <c r="R35" s="438"/>
      <c r="S35" s="438"/>
      <c r="T35" s="438"/>
      <c r="U35" s="438"/>
      <c r="V35" s="438"/>
      <c r="W35" s="438"/>
      <c r="X35" s="438"/>
      <c r="Y35" s="438"/>
      <c r="Z35" s="425"/>
      <c r="AA35" s="425"/>
      <c r="AB35" s="425"/>
      <c r="AC35" s="438"/>
      <c r="AD35" s="439"/>
      <c r="AE35" s="388"/>
      <c r="AF35" s="437" t="str">
        <f>IF(B35&lt;&gt;0,VLOOKUP(B35,GENERALITES!$B$36:$N$41,12,FALSE),"")</f>
        <v/>
      </c>
      <c r="AG35" s="427" t="s">
        <v>20</v>
      </c>
      <c r="AH35" s="438"/>
      <c r="AI35" s="438"/>
      <c r="AJ35" s="438"/>
      <c r="AK35" s="438"/>
      <c r="AL35" s="438"/>
      <c r="AM35" s="438"/>
      <c r="AN35" s="438"/>
      <c r="AO35" s="438"/>
      <c r="AP35" s="438"/>
      <c r="AQ35" s="438"/>
      <c r="AR35" s="425"/>
      <c r="AS35" s="425"/>
      <c r="AT35" s="425"/>
      <c r="AU35" s="438"/>
      <c r="AV35" s="439"/>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row>
    <row r="36" spans="1:136"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38"/>
      <c r="S36" s="434"/>
      <c r="T36" s="438"/>
      <c r="U36" s="438"/>
      <c r="V36" s="438"/>
      <c r="W36" s="438"/>
      <c r="X36" s="438"/>
      <c r="Y36" s="438"/>
      <c r="Z36" s="425"/>
      <c r="AA36" s="425"/>
      <c r="AB36" s="425"/>
      <c r="AC36" s="438"/>
      <c r="AD36" s="439"/>
      <c r="AE36" s="388"/>
      <c r="AF36" s="437" t="str">
        <f>IF(B36&lt;&gt;0,VLOOKUP(B36,GENERALITES!$B$36:$N$41,12,FALSE),"")</f>
        <v/>
      </c>
      <c r="AG36" s="427" t="s">
        <v>20</v>
      </c>
      <c r="AH36" s="438"/>
      <c r="AI36" s="438"/>
      <c r="AJ36" s="438"/>
      <c r="AK36" s="438"/>
      <c r="AL36" s="438"/>
      <c r="AM36" s="438"/>
      <c r="AN36" s="438"/>
      <c r="AO36" s="438"/>
      <c r="AP36" s="438"/>
      <c r="AQ36" s="438"/>
      <c r="AR36" s="425"/>
      <c r="AS36" s="425"/>
      <c r="AT36" s="425"/>
      <c r="AU36" s="438"/>
      <c r="AV36" s="439"/>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row>
    <row r="37" spans="1:136"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38"/>
      <c r="S37" s="438"/>
      <c r="T37" s="438"/>
      <c r="U37" s="438"/>
      <c r="V37" s="438"/>
      <c r="W37" s="438"/>
      <c r="X37" s="438"/>
      <c r="Y37" s="438"/>
      <c r="Z37" s="425"/>
      <c r="AA37" s="425"/>
      <c r="AB37" s="425"/>
      <c r="AC37" s="438"/>
      <c r="AD37" s="439"/>
      <c r="AE37" s="388"/>
      <c r="AF37" s="437" t="str">
        <f>IF(B37&lt;&gt;0,VLOOKUP(B37,GENERALITES!$B$36:$N$41,12,FALSE),"")</f>
        <v/>
      </c>
      <c r="AG37" s="427" t="s">
        <v>20</v>
      </c>
      <c r="AH37" s="438"/>
      <c r="AI37" s="438"/>
      <c r="AJ37" s="438"/>
      <c r="AK37" s="438"/>
      <c r="AL37" s="438"/>
      <c r="AM37" s="438"/>
      <c r="AN37" s="438"/>
      <c r="AO37" s="438"/>
      <c r="AP37" s="438"/>
      <c r="AQ37" s="438"/>
      <c r="AR37" s="425"/>
      <c r="AS37" s="425"/>
      <c r="AT37" s="425"/>
      <c r="AU37" s="438"/>
      <c r="AV37" s="439"/>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row>
    <row r="38" spans="1:136"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38"/>
      <c r="S38" s="438"/>
      <c r="T38" s="438"/>
      <c r="U38" s="438"/>
      <c r="V38" s="438"/>
      <c r="W38" s="438"/>
      <c r="X38" s="438"/>
      <c r="Y38" s="438"/>
      <c r="Z38" s="425"/>
      <c r="AA38" s="425"/>
      <c r="AB38" s="425"/>
      <c r="AC38" s="438"/>
      <c r="AD38" s="439"/>
      <c r="AE38" s="388"/>
      <c r="AF38" s="437" t="str">
        <f>IF(B38&lt;&gt;0,VLOOKUP(B38,GENERALITES!$B$36:$N$41,12,FALSE),"")</f>
        <v/>
      </c>
      <c r="AG38" s="427" t="s">
        <v>20</v>
      </c>
      <c r="AH38" s="420"/>
      <c r="AI38" s="420"/>
      <c r="AJ38" s="420"/>
      <c r="AK38" s="420"/>
      <c r="AL38" s="420"/>
      <c r="AM38" s="420"/>
      <c r="AN38" s="420"/>
      <c r="AO38" s="420"/>
      <c r="AP38" s="420"/>
      <c r="AQ38" s="420"/>
      <c r="AR38" s="425"/>
      <c r="AS38" s="425"/>
      <c r="AT38" s="425"/>
      <c r="AU38" s="420"/>
      <c r="AV38" s="432"/>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row>
    <row r="39" spans="1:136" ht="15.75" thickBot="1" x14ac:dyDescent="0.3">
      <c r="A39" s="440"/>
      <c r="B39" s="477"/>
      <c r="C39" s="478"/>
      <c r="D39" s="478"/>
      <c r="E39" s="478"/>
      <c r="F39" s="478"/>
      <c r="G39" s="478"/>
      <c r="H39" s="478"/>
      <c r="I39" s="478"/>
      <c r="J39" s="478"/>
      <c r="K39" s="478"/>
      <c r="L39" s="479"/>
      <c r="M39" s="440"/>
      <c r="N39" s="477"/>
      <c r="O39" s="478"/>
      <c r="P39" s="478"/>
      <c r="Q39" s="478"/>
      <c r="R39" s="478"/>
      <c r="S39" s="478"/>
      <c r="T39" s="478"/>
      <c r="U39" s="478"/>
      <c r="V39" s="478"/>
      <c r="W39" s="478"/>
      <c r="X39" s="478"/>
      <c r="Y39" s="478"/>
      <c r="Z39" s="478"/>
      <c r="AA39" s="478"/>
      <c r="AB39" s="478"/>
      <c r="AC39" s="478"/>
      <c r="AD39" s="479"/>
      <c r="AE39" s="440"/>
      <c r="AF39" s="444"/>
      <c r="AG39" s="445"/>
      <c r="AH39" s="445"/>
      <c r="AI39" s="445"/>
      <c r="AJ39" s="445"/>
      <c r="AK39" s="445"/>
      <c r="AL39" s="445"/>
      <c r="AM39" s="445"/>
      <c r="AN39" s="445"/>
      <c r="AO39" s="445"/>
      <c r="AP39" s="445"/>
      <c r="AQ39" s="445"/>
      <c r="AR39" s="445"/>
      <c r="AS39" s="445"/>
      <c r="AT39" s="445"/>
      <c r="AU39" s="445"/>
      <c r="AV39" s="446"/>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row>
    <row r="40" spans="1:136" ht="30" customHeight="1" thickBot="1" x14ac:dyDescent="0.3">
      <c r="A40" s="388"/>
      <c r="B40" s="499" t="s">
        <v>62</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1"/>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row>
    <row r="41" spans="1:136"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row>
    <row r="42" spans="1:136" ht="21.75" customHeight="1" thickBot="1" x14ac:dyDescent="0.3">
      <c r="A42" s="440"/>
      <c r="B42" s="453" t="s">
        <v>27</v>
      </c>
      <c r="C42" s="454"/>
      <c r="D42" s="454"/>
      <c r="E42" s="454"/>
      <c r="F42" s="454"/>
      <c r="G42" s="454"/>
      <c r="H42" s="455"/>
      <c r="I42" s="456"/>
      <c r="J42" s="456"/>
      <c r="K42" s="456"/>
      <c r="L42" s="456"/>
      <c r="M42" s="456"/>
      <c r="N42" s="342"/>
      <c r="O42" s="342"/>
      <c r="P42" s="342"/>
      <c r="Q42" s="342"/>
      <c r="R42" s="342"/>
      <c r="S42" s="342"/>
      <c r="T42" s="342"/>
      <c r="U42" s="342"/>
      <c r="V42" s="342"/>
      <c r="W42" s="342"/>
      <c r="X42" s="342"/>
      <c r="Y42" s="342"/>
      <c r="Z42" s="342"/>
      <c r="AA42" s="342"/>
      <c r="AB42" s="342"/>
      <c r="AC42" s="342"/>
      <c r="AD42" s="342"/>
      <c r="AE42" s="440"/>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row>
    <row r="43" spans="1:136"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8"/>
      <c r="W43" s="458"/>
      <c r="X43" s="458"/>
      <c r="Y43" s="458"/>
      <c r="Z43" s="458"/>
      <c r="AA43" s="458"/>
      <c r="AB43" s="458"/>
      <c r="AC43" s="458"/>
      <c r="AD43" s="459"/>
      <c r="AE43" s="440"/>
      <c r="AF43" s="460"/>
      <c r="AG43" s="461"/>
      <c r="AH43" s="461"/>
      <c r="AI43" s="461"/>
      <c r="AJ43" s="461"/>
      <c r="AK43" s="461"/>
      <c r="AL43" s="461"/>
      <c r="AM43" s="461"/>
      <c r="AN43" s="461"/>
      <c r="AO43" s="461"/>
      <c r="AP43" s="461"/>
      <c r="AQ43" s="461"/>
      <c r="AR43" s="461"/>
      <c r="AS43" s="461"/>
      <c r="AT43" s="461"/>
      <c r="AU43" s="461"/>
      <c r="AV43" s="462"/>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row>
    <row r="44" spans="1:136"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289"/>
      <c r="W44" s="289"/>
      <c r="X44" s="289"/>
      <c r="Y44" s="289"/>
      <c r="Z44" s="289"/>
      <c r="AA44" s="289"/>
      <c r="AB44" s="289"/>
      <c r="AC44" s="289"/>
      <c r="AD44" s="419"/>
      <c r="AE44" s="388"/>
      <c r="AF44" s="418" t="s">
        <v>41</v>
      </c>
      <c r="AG44" s="289"/>
      <c r="AH44" s="289"/>
      <c r="AI44" s="289"/>
      <c r="AJ44" s="289"/>
      <c r="AK44" s="289"/>
      <c r="AL44" s="289"/>
      <c r="AM44" s="289"/>
      <c r="AN44" s="289"/>
      <c r="AO44" s="289"/>
      <c r="AP44" s="289"/>
      <c r="AQ44" s="289"/>
      <c r="AR44" s="289"/>
      <c r="AS44" s="289"/>
      <c r="AT44" s="289"/>
      <c r="AU44" s="289"/>
      <c r="AV44" s="419"/>
      <c r="AX44" s="342"/>
      <c r="AY44" s="342"/>
      <c r="AZ44" s="342"/>
      <c r="BA44" s="342"/>
      <c r="BB44" s="342"/>
      <c r="BC44" s="342"/>
      <c r="BD44" s="342"/>
      <c r="BE44" s="342"/>
      <c r="BF44" s="342"/>
      <c r="BG44" s="342"/>
      <c r="BH44" s="342"/>
      <c r="BI44" s="342"/>
      <c r="BJ44" s="342"/>
    </row>
    <row r="45" spans="1:136" ht="43.5" customHeight="1" outlineLevel="1" x14ac:dyDescent="0.25">
      <c r="A45" s="463"/>
      <c r="B45" s="464" t="s">
        <v>17</v>
      </c>
      <c r="C45" s="425"/>
      <c r="D45" s="425"/>
      <c r="E45" s="425"/>
      <c r="F45" s="425"/>
      <c r="G45" s="422" t="s">
        <v>173</v>
      </c>
      <c r="H45" s="270"/>
      <c r="I45" s="422" t="s">
        <v>174</v>
      </c>
      <c r="J45" s="447"/>
      <c r="K45" s="447"/>
      <c r="L45" s="401"/>
      <c r="M45" s="420"/>
      <c r="N45" s="269" t="s">
        <v>78</v>
      </c>
      <c r="O45" s="270"/>
      <c r="P45" s="422" t="s">
        <v>91</v>
      </c>
      <c r="Q45" s="270"/>
      <c r="R45" s="425"/>
      <c r="S45" s="422" t="s">
        <v>79</v>
      </c>
      <c r="T45" s="270"/>
      <c r="U45" s="422" t="s">
        <v>82</v>
      </c>
      <c r="V45" s="270"/>
      <c r="W45" s="425"/>
      <c r="X45" s="422" t="s">
        <v>187</v>
      </c>
      <c r="Y45" s="270"/>
      <c r="Z45" s="422" t="s">
        <v>188</v>
      </c>
      <c r="AA45" s="270"/>
      <c r="AB45" s="425"/>
      <c r="AC45" s="422" t="s">
        <v>189</v>
      </c>
      <c r="AD45" s="401"/>
      <c r="AE45" s="388"/>
      <c r="AF45" s="269" t="s">
        <v>41</v>
      </c>
      <c r="AG45" s="270"/>
      <c r="AH45" s="422" t="s">
        <v>95</v>
      </c>
      <c r="AI45" s="270"/>
      <c r="AJ45" s="425"/>
      <c r="AK45" s="422" t="s">
        <v>87</v>
      </c>
      <c r="AL45" s="270"/>
      <c r="AM45" s="422" t="s">
        <v>83</v>
      </c>
      <c r="AN45" s="270"/>
      <c r="AO45" s="425"/>
      <c r="AP45" s="422" t="s">
        <v>212</v>
      </c>
      <c r="AQ45" s="270"/>
      <c r="AR45" s="422" t="s">
        <v>213</v>
      </c>
      <c r="AS45" s="270"/>
      <c r="AT45" s="425"/>
      <c r="AU45" s="422" t="s">
        <v>214</v>
      </c>
      <c r="AV45" s="401"/>
      <c r="AX45" s="342"/>
      <c r="AY45" s="342"/>
      <c r="AZ45" s="342"/>
      <c r="BA45" s="342"/>
      <c r="BB45" s="342"/>
      <c r="BC45" s="342"/>
      <c r="BD45" s="342"/>
      <c r="BE45" s="342"/>
      <c r="BF45" s="342"/>
      <c r="BG45" s="342"/>
      <c r="BH45" s="342"/>
      <c r="BI45" s="342"/>
      <c r="BJ45" s="342"/>
    </row>
    <row r="46" spans="1:136" ht="15" customHeight="1" outlineLevel="1" x14ac:dyDescent="0.25">
      <c r="A46" s="463"/>
      <c r="B46" s="435" t="s">
        <v>18</v>
      </c>
      <c r="C46" s="425"/>
      <c r="D46" s="425"/>
      <c r="E46" s="425"/>
      <c r="F46" s="425"/>
      <c r="G46" s="469">
        <v>600</v>
      </c>
      <c r="H46" s="427" t="str">
        <f>GENERALITES!$D$13</f>
        <v>kWh</v>
      </c>
      <c r="I46" s="485">
        <f>$N$10</f>
        <v>2.1313614615050023</v>
      </c>
      <c r="J46" s="449" t="s">
        <v>2</v>
      </c>
      <c r="K46" s="302">
        <f>IF(B46=Annexes!$B$3,G46*I46/100,SUMPRODUCT(G49:G52,I49:I52/100))</f>
        <v>12.788168769030015</v>
      </c>
      <c r="L46" s="428" t="str">
        <f>GENERALITES!$D$13</f>
        <v>kWh</v>
      </c>
      <c r="M46" s="420"/>
      <c r="N46" s="437">
        <f>GENERALITES!$D$46</f>
        <v>0.15</v>
      </c>
      <c r="O46" s="427" t="str">
        <f>GENERALITES!$E$46</f>
        <v>€ / kWh</v>
      </c>
      <c r="P46" s="302">
        <f>IF(B46=Annexes!$B$3,G46*N46,SUM(G49:G52)*N46)</f>
        <v>90</v>
      </c>
      <c r="Q46" s="427" t="s">
        <v>6</v>
      </c>
      <c r="R46" s="425"/>
      <c r="S46" s="302">
        <f>'ETAPE 1'!R46</f>
        <v>0</v>
      </c>
      <c r="T46" s="427" t="s">
        <v>72</v>
      </c>
      <c r="U46" s="448">
        <f>S46*$B$10</f>
        <v>0</v>
      </c>
      <c r="V46" s="427" t="s">
        <v>6</v>
      </c>
      <c r="W46" s="425"/>
      <c r="X46" s="302">
        <f>P46+U46</f>
        <v>90</v>
      </c>
      <c r="Y46" s="427" t="s">
        <v>6</v>
      </c>
      <c r="Z46" s="302">
        <f>IF($E$10&lt;&gt;0,X46/$E$10,0)</f>
        <v>3.9147455415398</v>
      </c>
      <c r="AA46" s="427" t="s">
        <v>72</v>
      </c>
      <c r="AB46" s="425"/>
      <c r="AC46" s="302">
        <f>$N$10/100*U46+IF(B46=Annexes!$B$3,I46/100*P46,IF(SUM(G49:G52)&gt;0,K46/SUM(G49:G52)*P46,0))</f>
        <v>1.9182253153545021</v>
      </c>
      <c r="AD46" s="428" t="s">
        <v>6</v>
      </c>
      <c r="AE46" s="388"/>
      <c r="AF46" s="437">
        <f>GENERALITES!$M$46</f>
        <v>7.85E-4</v>
      </c>
      <c r="AG46" s="427" t="str">
        <f>GENERALITES!$N$46</f>
        <v>TCO2 / kWh</v>
      </c>
      <c r="AH46" s="302">
        <f>IF(B46=Annexes!$B$3,G46*AF46,SUM(G49:G52)*AF46)</f>
        <v>0.47099999999999997</v>
      </c>
      <c r="AI46" s="427" t="s">
        <v>21</v>
      </c>
      <c r="AJ46" s="425"/>
      <c r="AK46" s="302">
        <f>'ETAPE 1'!AB46</f>
        <v>0</v>
      </c>
      <c r="AL46" s="427" t="s">
        <v>73</v>
      </c>
      <c r="AM46" s="448">
        <f>AK46*$B$10</f>
        <v>0</v>
      </c>
      <c r="AN46" s="427" t="s">
        <v>21</v>
      </c>
      <c r="AO46" s="425"/>
      <c r="AP46" s="302">
        <f>AH46+AM46</f>
        <v>0.47099999999999997</v>
      </c>
      <c r="AQ46" s="427" t="s">
        <v>21</v>
      </c>
      <c r="AR46" s="302">
        <f>IF($E$10&lt;&gt;0,AP46/$E$10,0)</f>
        <v>2.0487168334058288E-2</v>
      </c>
      <c r="AS46" s="427" t="s">
        <v>73</v>
      </c>
      <c r="AT46" s="425"/>
      <c r="AU46" s="302">
        <f>$N$10/100*AM46+IF(B46=Annexes!$B$3,I46/100*AH46,IF(SUM(G49:G52)&gt;0,K46/SUM(G49:G52)*AH46,0))</f>
        <v>1.003871248368856E-2</v>
      </c>
      <c r="AV46" s="428" t="s">
        <v>21</v>
      </c>
      <c r="AX46" s="342"/>
      <c r="AY46" s="342"/>
      <c r="AZ46" s="342"/>
      <c r="BA46" s="342"/>
      <c r="BB46" s="342"/>
      <c r="BC46" s="342"/>
      <c r="BD46" s="342"/>
      <c r="BE46" s="342"/>
      <c r="BF46" s="342"/>
      <c r="BG46" s="342"/>
      <c r="BH46" s="342"/>
      <c r="BI46" s="342"/>
      <c r="BJ46" s="342"/>
    </row>
    <row r="47" spans="1:136"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20"/>
      <c r="W47" s="420"/>
      <c r="X47" s="420"/>
      <c r="Y47" s="420"/>
      <c r="Z47" s="420"/>
      <c r="AA47" s="420"/>
      <c r="AB47" s="420"/>
      <c r="AC47" s="420"/>
      <c r="AD47" s="432"/>
      <c r="AE47" s="388"/>
      <c r="AF47" s="431"/>
      <c r="AG47" s="420"/>
      <c r="AH47" s="420"/>
      <c r="AI47" s="420"/>
      <c r="AJ47" s="420"/>
      <c r="AK47" s="420"/>
      <c r="AL47" s="420"/>
      <c r="AM47" s="420"/>
      <c r="AN47" s="420"/>
      <c r="AO47" s="420"/>
      <c r="AP47" s="420"/>
      <c r="AQ47" s="420"/>
      <c r="AR47" s="420"/>
      <c r="AS47" s="420"/>
      <c r="AT47" s="420"/>
      <c r="AU47" s="420"/>
      <c r="AV47" s="43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row>
    <row r="48" spans="1:136" ht="15" customHeight="1" outlineLevel="1" x14ac:dyDescent="0.25">
      <c r="A48" s="463"/>
      <c r="B48" s="464" t="s">
        <v>7</v>
      </c>
      <c r="C48" s="425"/>
      <c r="D48" s="425"/>
      <c r="E48" s="425"/>
      <c r="F48" s="425"/>
      <c r="G48" s="425"/>
      <c r="H48" s="425"/>
      <c r="I48" s="434"/>
      <c r="J48" s="434"/>
      <c r="K48" s="425"/>
      <c r="L48" s="470"/>
      <c r="M48" s="420"/>
      <c r="N48" s="471"/>
      <c r="O48" s="425"/>
      <c r="P48" s="425"/>
      <c r="Q48" s="425"/>
      <c r="R48" s="425"/>
      <c r="S48" s="425"/>
      <c r="T48" s="425"/>
      <c r="U48" s="425"/>
      <c r="V48" s="425"/>
      <c r="W48" s="425"/>
      <c r="X48" s="425"/>
      <c r="Y48" s="425"/>
      <c r="Z48" s="433"/>
      <c r="AA48" s="433"/>
      <c r="AB48" s="433"/>
      <c r="AC48" s="420" t="s">
        <v>40</v>
      </c>
      <c r="AD48" s="432"/>
      <c r="AE48" s="388"/>
      <c r="AF48" s="431"/>
      <c r="AG48" s="420"/>
      <c r="AH48" s="420"/>
      <c r="AI48" s="420"/>
      <c r="AJ48" s="420"/>
      <c r="AK48" s="420"/>
      <c r="AL48" s="420"/>
      <c r="AM48" s="420"/>
      <c r="AN48" s="420"/>
      <c r="AO48" s="420"/>
      <c r="AP48" s="420"/>
      <c r="AQ48" s="420"/>
      <c r="AR48" s="420"/>
      <c r="AS48" s="420"/>
      <c r="AT48" s="420"/>
      <c r="AU48" s="420"/>
      <c r="AV48" s="432"/>
    </row>
    <row r="49" spans="1:136" outlineLevel="1" x14ac:dyDescent="0.25">
      <c r="A49" s="463"/>
      <c r="B49" s="472"/>
      <c r="C49" s="425"/>
      <c r="D49" s="425"/>
      <c r="E49" s="425"/>
      <c r="F49" s="425"/>
      <c r="G49" s="473"/>
      <c r="H49" s="427" t="str">
        <f>GENERALITES!$D$13</f>
        <v>kWh</v>
      </c>
      <c r="I49" s="436"/>
      <c r="J49" s="430" t="s">
        <v>2</v>
      </c>
      <c r="K49" s="425"/>
      <c r="L49" s="470"/>
      <c r="M49" s="420"/>
      <c r="N49" s="471"/>
      <c r="O49" s="425"/>
      <c r="P49" s="425"/>
      <c r="Q49" s="425"/>
      <c r="R49" s="425"/>
      <c r="S49" s="425"/>
      <c r="T49" s="425"/>
      <c r="U49" s="425"/>
      <c r="V49" s="425"/>
      <c r="W49" s="425"/>
      <c r="X49" s="425"/>
      <c r="Y49" s="425"/>
      <c r="Z49" s="475"/>
      <c r="AA49" s="475"/>
      <c r="AB49" s="475"/>
      <c r="AC49" s="420"/>
      <c r="AD49" s="432"/>
      <c r="AE49" s="388"/>
      <c r="AF49" s="431"/>
      <c r="AG49" s="420"/>
      <c r="AH49" s="420"/>
      <c r="AI49" s="420"/>
      <c r="AJ49" s="420"/>
      <c r="AK49" s="420"/>
      <c r="AL49" s="420"/>
      <c r="AM49" s="420"/>
      <c r="AN49" s="420"/>
      <c r="AO49" s="420"/>
      <c r="AP49" s="420"/>
      <c r="AQ49" s="420"/>
      <c r="AR49" s="420"/>
      <c r="AS49" s="420"/>
      <c r="AT49" s="420"/>
      <c r="AU49" s="420" t="s">
        <v>40</v>
      </c>
      <c r="AV49" s="432"/>
    </row>
    <row r="50" spans="1:136" outlineLevel="1" x14ac:dyDescent="0.25">
      <c r="A50" s="463"/>
      <c r="B50" s="472"/>
      <c r="C50" s="425"/>
      <c r="D50" s="425"/>
      <c r="E50" s="425"/>
      <c r="F50" s="425"/>
      <c r="G50" s="473"/>
      <c r="H50" s="427" t="str">
        <f>GENERALITES!$D$13</f>
        <v>kWh</v>
      </c>
      <c r="I50" s="436"/>
      <c r="J50" s="430" t="s">
        <v>2</v>
      </c>
      <c r="K50" s="425"/>
      <c r="L50" s="470"/>
      <c r="M50" s="420"/>
      <c r="N50" s="471"/>
      <c r="O50" s="425"/>
      <c r="P50" s="425"/>
      <c r="Q50" s="425"/>
      <c r="R50" s="425"/>
      <c r="S50" s="425"/>
      <c r="T50" s="425"/>
      <c r="U50" s="425"/>
      <c r="V50" s="425"/>
      <c r="W50" s="425"/>
      <c r="X50" s="425"/>
      <c r="Y50" s="425"/>
      <c r="Z50" s="433"/>
      <c r="AA50" s="433"/>
      <c r="AB50" s="433"/>
      <c r="AC50" s="420"/>
      <c r="AD50" s="432"/>
      <c r="AE50" s="388"/>
      <c r="AF50" s="431"/>
      <c r="AG50" s="420"/>
      <c r="AH50" s="420"/>
      <c r="AI50" s="420"/>
      <c r="AJ50" s="420"/>
      <c r="AK50" s="420"/>
      <c r="AL50" s="420"/>
      <c r="AM50" s="420"/>
      <c r="AN50" s="420"/>
      <c r="AO50" s="420"/>
      <c r="AP50" s="420"/>
      <c r="AQ50" s="420"/>
      <c r="AR50" s="420"/>
      <c r="AS50" s="420"/>
      <c r="AT50" s="420"/>
      <c r="AU50" s="420"/>
      <c r="AV50" s="432"/>
    </row>
    <row r="51" spans="1:136" outlineLevel="1" x14ac:dyDescent="0.25">
      <c r="A51" s="463"/>
      <c r="B51" s="472"/>
      <c r="C51" s="425"/>
      <c r="D51" s="425"/>
      <c r="E51" s="425"/>
      <c r="F51" s="425"/>
      <c r="G51" s="473"/>
      <c r="H51" s="427" t="str">
        <f>GENERALITES!$D$13</f>
        <v>kWh</v>
      </c>
      <c r="I51" s="436"/>
      <c r="J51" s="430" t="s">
        <v>2</v>
      </c>
      <c r="K51" s="425"/>
      <c r="L51" s="470"/>
      <c r="M51" s="420"/>
      <c r="N51" s="471"/>
      <c r="O51" s="425"/>
      <c r="P51" s="425"/>
      <c r="Q51" s="425"/>
      <c r="R51" s="425"/>
      <c r="S51" s="425"/>
      <c r="T51" s="425"/>
      <c r="U51" s="425"/>
      <c r="V51" s="425"/>
      <c r="W51" s="425"/>
      <c r="X51" s="425"/>
      <c r="Y51" s="425"/>
      <c r="Z51" s="433"/>
      <c r="AA51" s="433"/>
      <c r="AB51" s="433"/>
      <c r="AC51" s="420"/>
      <c r="AD51" s="439"/>
      <c r="AE51" s="476"/>
      <c r="AF51" s="431"/>
      <c r="AG51" s="420"/>
      <c r="AH51" s="420"/>
      <c r="AI51" s="420"/>
      <c r="AJ51" s="420"/>
      <c r="AK51" s="420"/>
      <c r="AL51" s="420"/>
      <c r="AM51" s="420"/>
      <c r="AN51" s="420"/>
      <c r="AO51" s="420"/>
      <c r="AP51" s="420"/>
      <c r="AQ51" s="420"/>
      <c r="AR51" s="420"/>
      <c r="AS51" s="420"/>
      <c r="AT51" s="420"/>
      <c r="AU51" s="420"/>
      <c r="AV51" s="432"/>
    </row>
    <row r="52" spans="1:136" outlineLevel="1" x14ac:dyDescent="0.25">
      <c r="B52" s="472"/>
      <c r="C52" s="425"/>
      <c r="D52" s="425"/>
      <c r="E52" s="425"/>
      <c r="F52" s="425"/>
      <c r="G52" s="473"/>
      <c r="H52" s="427" t="str">
        <f>GENERALITES!$D$13</f>
        <v>kWh</v>
      </c>
      <c r="I52" s="436"/>
      <c r="J52" s="430" t="s">
        <v>2</v>
      </c>
      <c r="K52" s="425"/>
      <c r="L52" s="470"/>
      <c r="M52" s="420"/>
      <c r="N52" s="471"/>
      <c r="O52" s="425"/>
      <c r="P52" s="425"/>
      <c r="Q52" s="425"/>
      <c r="R52" s="425"/>
      <c r="S52" s="425"/>
      <c r="T52" s="425"/>
      <c r="U52" s="425"/>
      <c r="V52" s="425"/>
      <c r="W52" s="425"/>
      <c r="X52" s="425"/>
      <c r="Y52" s="425"/>
      <c r="Z52" s="433"/>
      <c r="AA52" s="433"/>
      <c r="AB52" s="433"/>
      <c r="AC52" s="420"/>
      <c r="AD52" s="439"/>
      <c r="AE52" s="476"/>
      <c r="AF52" s="431"/>
      <c r="AG52" s="420"/>
      <c r="AH52" s="420"/>
      <c r="AI52" s="420"/>
      <c r="AJ52" s="420"/>
      <c r="AK52" s="420"/>
      <c r="AL52" s="420"/>
      <c r="AM52" s="420"/>
      <c r="AN52" s="420"/>
      <c r="AO52" s="420"/>
      <c r="AP52" s="420"/>
      <c r="AQ52" s="420"/>
      <c r="AR52" s="420"/>
      <c r="AS52" s="420"/>
      <c r="AT52" s="420"/>
      <c r="AU52" s="420"/>
      <c r="AV52" s="432"/>
    </row>
    <row r="53" spans="1:136"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8"/>
      <c r="W53" s="478"/>
      <c r="X53" s="478"/>
      <c r="Y53" s="478"/>
      <c r="Z53" s="478"/>
      <c r="AA53" s="478"/>
      <c r="AB53" s="478"/>
      <c r="AC53" s="478"/>
      <c r="AD53" s="479"/>
      <c r="AE53" s="440"/>
      <c r="AF53" s="444"/>
      <c r="AG53" s="445"/>
      <c r="AH53" s="445"/>
      <c r="AI53" s="445"/>
      <c r="AJ53" s="445"/>
      <c r="AK53" s="445"/>
      <c r="AL53" s="445"/>
      <c r="AM53" s="445"/>
      <c r="AN53" s="445"/>
      <c r="AO53" s="445"/>
      <c r="AP53" s="445"/>
      <c r="AQ53" s="445"/>
      <c r="AR53" s="445"/>
      <c r="AS53" s="445"/>
      <c r="AT53" s="445"/>
      <c r="AU53" s="445"/>
      <c r="AV53" s="446"/>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c r="DQ53" s="388"/>
      <c r="DR53" s="388"/>
      <c r="DS53" s="388"/>
      <c r="DT53" s="388"/>
      <c r="DU53" s="388"/>
      <c r="DV53" s="388"/>
      <c r="DW53" s="388"/>
      <c r="DX53" s="388"/>
      <c r="DY53" s="388"/>
      <c r="DZ53" s="388"/>
      <c r="EA53" s="388"/>
      <c r="EB53" s="388"/>
      <c r="EC53" s="388"/>
      <c r="ED53" s="388"/>
      <c r="EE53" s="388"/>
      <c r="EF53" s="388"/>
    </row>
    <row r="54" spans="1:136" ht="21.75" customHeight="1" thickBot="1" x14ac:dyDescent="0.3">
      <c r="A54" s="440"/>
      <c r="B54" s="508" t="s">
        <v>28</v>
      </c>
      <c r="C54" s="509"/>
      <c r="D54" s="509"/>
      <c r="E54" s="509"/>
      <c r="F54" s="509"/>
      <c r="G54" s="509"/>
      <c r="H54" s="510"/>
      <c r="I54" s="342"/>
      <c r="J54" s="342"/>
      <c r="K54" s="342"/>
      <c r="L54" s="342"/>
      <c r="M54" s="342"/>
      <c r="N54" s="342"/>
      <c r="O54" s="342"/>
      <c r="P54" s="342"/>
      <c r="Q54" s="342"/>
      <c r="R54" s="342"/>
      <c r="S54" s="342"/>
      <c r="T54" s="342"/>
      <c r="U54" s="342"/>
      <c r="V54" s="342"/>
      <c r="W54" s="342"/>
      <c r="X54" s="342"/>
      <c r="Y54" s="342"/>
      <c r="Z54" s="342"/>
      <c r="AA54" s="342"/>
      <c r="AB54" s="342"/>
      <c r="AC54" s="342"/>
      <c r="AD54" s="342"/>
      <c r="AE54" s="440"/>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c r="DQ54" s="388"/>
      <c r="DR54" s="388"/>
      <c r="DS54" s="388"/>
      <c r="DT54" s="388"/>
      <c r="DU54" s="388"/>
      <c r="DV54" s="388"/>
      <c r="DW54" s="388"/>
      <c r="DX54" s="388"/>
      <c r="DY54" s="388"/>
      <c r="DZ54" s="388"/>
      <c r="EA54" s="388"/>
      <c r="EB54" s="388"/>
      <c r="EC54" s="388"/>
      <c r="ED54" s="388"/>
      <c r="EE54" s="388"/>
      <c r="EF54" s="388"/>
    </row>
    <row r="55" spans="1:136" ht="15.75" outlineLevel="1" thickBot="1" x14ac:dyDescent="0.3">
      <c r="B55" s="412"/>
      <c r="C55" s="413"/>
      <c r="D55" s="413"/>
      <c r="E55" s="413"/>
      <c r="F55" s="413"/>
      <c r="G55" s="413"/>
      <c r="H55" s="413"/>
      <c r="I55" s="413"/>
      <c r="J55" s="413"/>
      <c r="K55" s="413"/>
      <c r="L55" s="414"/>
      <c r="N55" s="412"/>
      <c r="O55" s="413"/>
      <c r="P55" s="413"/>
      <c r="Q55" s="413"/>
      <c r="R55" s="413"/>
      <c r="S55" s="413"/>
      <c r="T55" s="413"/>
      <c r="U55" s="413"/>
      <c r="V55" s="413"/>
      <c r="W55" s="413"/>
      <c r="X55" s="413"/>
      <c r="Y55" s="413"/>
      <c r="Z55" s="413"/>
      <c r="AA55" s="413"/>
      <c r="AB55" s="413"/>
      <c r="AC55" s="413"/>
      <c r="AD55" s="414"/>
      <c r="AF55" s="412"/>
      <c r="AG55" s="413"/>
      <c r="AH55" s="413"/>
      <c r="AI55" s="413"/>
      <c r="AJ55" s="413"/>
      <c r="AK55" s="413"/>
      <c r="AL55" s="413"/>
      <c r="AM55" s="413"/>
      <c r="AN55" s="413"/>
      <c r="AO55" s="413"/>
      <c r="AP55" s="413"/>
      <c r="AQ55" s="413"/>
      <c r="AR55" s="413"/>
      <c r="AS55" s="413"/>
      <c r="AT55" s="413"/>
      <c r="AU55" s="413"/>
      <c r="AV55" s="414"/>
    </row>
    <row r="56" spans="1:136" ht="15" customHeight="1" outlineLevel="1" thickBot="1" x14ac:dyDescent="0.3">
      <c r="B56" s="511" t="s">
        <v>48</v>
      </c>
      <c r="C56" s="512"/>
      <c r="D56" s="512"/>
      <c r="E56" s="512"/>
      <c r="F56" s="512"/>
      <c r="G56" s="512"/>
      <c r="H56" s="512"/>
      <c r="I56" s="512"/>
      <c r="J56" s="512"/>
      <c r="K56" s="512"/>
      <c r="L56" s="513"/>
      <c r="M56" s="433"/>
      <c r="N56" s="418" t="s">
        <v>49</v>
      </c>
      <c r="O56" s="289"/>
      <c r="P56" s="289"/>
      <c r="Q56" s="289"/>
      <c r="R56" s="289"/>
      <c r="S56" s="289"/>
      <c r="T56" s="289"/>
      <c r="U56" s="289"/>
      <c r="V56" s="289"/>
      <c r="W56" s="289"/>
      <c r="X56" s="289"/>
      <c r="Y56" s="289"/>
      <c r="Z56" s="289"/>
      <c r="AA56" s="289"/>
      <c r="AB56" s="289"/>
      <c r="AC56" s="289"/>
      <c r="AD56" s="419"/>
      <c r="AE56" s="388"/>
      <c r="AF56" s="418" t="s">
        <v>42</v>
      </c>
      <c r="AG56" s="289"/>
      <c r="AH56" s="289"/>
      <c r="AI56" s="289"/>
      <c r="AJ56" s="289"/>
      <c r="AK56" s="289"/>
      <c r="AL56" s="289"/>
      <c r="AM56" s="289"/>
      <c r="AN56" s="289"/>
      <c r="AO56" s="289"/>
      <c r="AP56" s="289"/>
      <c r="AQ56" s="289"/>
      <c r="AR56" s="289"/>
      <c r="AS56" s="289"/>
      <c r="AT56" s="289"/>
      <c r="AU56" s="289"/>
      <c r="AV56" s="419"/>
      <c r="AX56" s="342"/>
      <c r="AY56" s="342"/>
      <c r="AZ56" s="342"/>
      <c r="BA56" s="342"/>
      <c r="BB56" s="342"/>
      <c r="BC56" s="342"/>
      <c r="BD56" s="342"/>
      <c r="BE56" s="342"/>
      <c r="BF56" s="342"/>
      <c r="BG56" s="342"/>
      <c r="BH56" s="342"/>
      <c r="BI56" s="342"/>
      <c r="BJ56" s="342"/>
    </row>
    <row r="57" spans="1:136" ht="43.5" customHeight="1" outlineLevel="1" x14ac:dyDescent="0.25">
      <c r="B57" s="486" t="s">
        <v>17</v>
      </c>
      <c r="C57" s="425"/>
      <c r="D57" s="425"/>
      <c r="E57" s="425"/>
      <c r="F57" s="425"/>
      <c r="G57" s="489" t="s">
        <v>175</v>
      </c>
      <c r="H57" s="466"/>
      <c r="I57" s="489" t="s">
        <v>176</v>
      </c>
      <c r="J57" s="492"/>
      <c r="K57" s="492"/>
      <c r="L57" s="490"/>
      <c r="M57" s="420"/>
      <c r="N57" s="269" t="s">
        <v>84</v>
      </c>
      <c r="O57" s="270"/>
      <c r="P57" s="422" t="s">
        <v>92</v>
      </c>
      <c r="Q57" s="270"/>
      <c r="R57" s="425"/>
      <c r="S57" s="422" t="s">
        <v>85</v>
      </c>
      <c r="T57" s="270"/>
      <c r="U57" s="422" t="s">
        <v>86</v>
      </c>
      <c r="V57" s="270"/>
      <c r="W57" s="425"/>
      <c r="X57" s="422" t="s">
        <v>190</v>
      </c>
      <c r="Y57" s="270"/>
      <c r="Z57" s="422" t="s">
        <v>191</v>
      </c>
      <c r="AA57" s="270"/>
      <c r="AB57" s="425"/>
      <c r="AC57" s="422" t="s">
        <v>192</v>
      </c>
      <c r="AD57" s="401"/>
      <c r="AE57" s="388"/>
      <c r="AF57" s="269" t="s">
        <v>42</v>
      </c>
      <c r="AG57" s="270"/>
      <c r="AH57" s="422" t="s">
        <v>96</v>
      </c>
      <c r="AI57" s="270"/>
      <c r="AJ57" s="425"/>
      <c r="AK57" s="422" t="s">
        <v>88</v>
      </c>
      <c r="AL57" s="270"/>
      <c r="AM57" s="422" t="s">
        <v>90</v>
      </c>
      <c r="AN57" s="270"/>
      <c r="AO57" s="425"/>
      <c r="AP57" s="422" t="s">
        <v>215</v>
      </c>
      <c r="AQ57" s="270"/>
      <c r="AR57" s="422" t="s">
        <v>216</v>
      </c>
      <c r="AS57" s="270"/>
      <c r="AT57" s="425"/>
      <c r="AU57" s="422" t="s">
        <v>217</v>
      </c>
      <c r="AV57" s="401"/>
      <c r="AX57" s="342"/>
      <c r="AY57" s="342"/>
      <c r="AZ57" s="342"/>
      <c r="BA57" s="342"/>
      <c r="BB57" s="342"/>
      <c r="BC57" s="342"/>
      <c r="BD57" s="342"/>
      <c r="BE57" s="342"/>
      <c r="BF57" s="342"/>
      <c r="BG57" s="342"/>
      <c r="BH57" s="342"/>
      <c r="BI57" s="342"/>
      <c r="BJ57" s="342"/>
    </row>
    <row r="58" spans="1:136" outlineLevel="1" x14ac:dyDescent="0.25">
      <c r="B58" s="435" t="s">
        <v>18</v>
      </c>
      <c r="C58" s="425"/>
      <c r="D58" s="425"/>
      <c r="E58" s="425"/>
      <c r="F58" s="425"/>
      <c r="G58" s="469"/>
      <c r="H58" s="427" t="str">
        <f>GENERALITES!$D$14</f>
        <v>kg</v>
      </c>
      <c r="I58" s="485">
        <f>$N$10</f>
        <v>2.1313614615050023</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425"/>
      <c r="S58" s="302">
        <f>'ETAPE 1'!R58</f>
        <v>0</v>
      </c>
      <c r="T58" s="427" t="s">
        <v>72</v>
      </c>
      <c r="U58" s="302">
        <f>S58*$B$10</f>
        <v>0</v>
      </c>
      <c r="V58" s="427" t="s">
        <v>6</v>
      </c>
      <c r="W58" s="425"/>
      <c r="X58" s="302">
        <f>P58+U58</f>
        <v>0</v>
      </c>
      <c r="Y58" s="427" t="s">
        <v>6</v>
      </c>
      <c r="Z58" s="302">
        <f>IF($E$10&lt;&gt;0,X58/$E$10,0)</f>
        <v>0</v>
      </c>
      <c r="AA58" s="427" t="s">
        <v>72</v>
      </c>
      <c r="AB58" s="425"/>
      <c r="AC58" s="302">
        <f>$N$10/100*U58+IF(B58=Annexes!$B$3,I58/100*P58,IF(SUM(G61:G64)&gt;0,K58/SUM(G61:G64)*P58,0))</f>
        <v>0</v>
      </c>
      <c r="AD58" s="428" t="s">
        <v>6</v>
      </c>
      <c r="AE58" s="388"/>
      <c r="AF58" s="437">
        <f>GENERALITES!$M$47</f>
        <v>0</v>
      </c>
      <c r="AG58" s="427" t="str">
        <f>GENERALITES!$N$47</f>
        <v>TCO2 / kg</v>
      </c>
      <c r="AH58" s="302">
        <f>IF(B58=Annexes!$B$3,G58*AF58,SUM(G61:G64)*AF58)</f>
        <v>0</v>
      </c>
      <c r="AI58" s="427" t="s">
        <v>21</v>
      </c>
      <c r="AJ58" s="425"/>
      <c r="AK58" s="302">
        <f>'ETAPE 1'!AB58</f>
        <v>0</v>
      </c>
      <c r="AL58" s="427" t="s">
        <v>73</v>
      </c>
      <c r="AM58" s="302">
        <f>AK58*$B$10</f>
        <v>0</v>
      </c>
      <c r="AN58" s="427" t="s">
        <v>21</v>
      </c>
      <c r="AO58" s="425"/>
      <c r="AP58" s="302">
        <f>AH58+AM58</f>
        <v>0</v>
      </c>
      <c r="AQ58" s="427" t="s">
        <v>21</v>
      </c>
      <c r="AR58" s="302">
        <f>IF($E$10&lt;&gt;0,AP58/$E$10,0)</f>
        <v>0</v>
      </c>
      <c r="AS58" s="427" t="s">
        <v>73</v>
      </c>
      <c r="AT58" s="425"/>
      <c r="AU58" s="302">
        <f>$N$10/100*AM58+IF(B58=Annexes!$B$3,I58/100*AH58,IF(SUM(G61:G64)&gt;0,K58/SUM(G61:G64)*AH58,0))</f>
        <v>0</v>
      </c>
      <c r="AV58" s="428" t="s">
        <v>21</v>
      </c>
      <c r="AX58" s="342"/>
      <c r="AY58" s="342"/>
      <c r="AZ58" s="342"/>
      <c r="BA58" s="342"/>
      <c r="BB58" s="342"/>
      <c r="BC58" s="342"/>
      <c r="BD58" s="342"/>
      <c r="BE58" s="342"/>
      <c r="BF58" s="342"/>
      <c r="BG58" s="342"/>
      <c r="BH58" s="342"/>
      <c r="BI58" s="342"/>
      <c r="BJ58" s="342"/>
    </row>
    <row r="59" spans="1:136" outlineLevel="1" x14ac:dyDescent="0.25">
      <c r="B59" s="431"/>
      <c r="C59" s="425"/>
      <c r="D59" s="425"/>
      <c r="E59" s="425"/>
      <c r="F59" s="425"/>
      <c r="G59" s="420"/>
      <c r="H59" s="420"/>
      <c r="I59" s="420"/>
      <c r="J59" s="420"/>
      <c r="K59" s="420"/>
      <c r="L59" s="432"/>
      <c r="M59" s="420"/>
      <c r="N59" s="514"/>
      <c r="O59" s="420"/>
      <c r="P59" s="515"/>
      <c r="Q59" s="420"/>
      <c r="R59" s="425"/>
      <c r="S59" s="516"/>
      <c r="T59" s="420"/>
      <c r="U59" s="515"/>
      <c r="V59" s="420"/>
      <c r="W59" s="425"/>
      <c r="X59" s="515"/>
      <c r="Y59" s="420"/>
      <c r="Z59" s="515"/>
      <c r="AA59" s="420"/>
      <c r="AB59" s="425"/>
      <c r="AC59" s="517"/>
      <c r="AD59" s="432"/>
      <c r="AE59" s="388"/>
      <c r="AF59" s="514"/>
      <c r="AG59" s="420"/>
      <c r="AH59" s="515"/>
      <c r="AI59" s="420"/>
      <c r="AJ59" s="425"/>
      <c r="AK59" s="516"/>
      <c r="AL59" s="420"/>
      <c r="AM59" s="515"/>
      <c r="AN59" s="420"/>
      <c r="AO59" s="425"/>
      <c r="AP59" s="515"/>
      <c r="AQ59" s="420"/>
      <c r="AR59" s="515"/>
      <c r="AS59" s="420"/>
      <c r="AT59" s="425"/>
      <c r="AU59" s="518"/>
      <c r="AV59" s="432"/>
      <c r="AX59" s="342"/>
      <c r="AY59" s="342"/>
      <c r="AZ59" s="342"/>
      <c r="BA59" s="342"/>
      <c r="BB59" s="342"/>
      <c r="BC59" s="342"/>
      <c r="BD59" s="342"/>
      <c r="BE59" s="342"/>
      <c r="BF59" s="342"/>
      <c r="BG59" s="342"/>
      <c r="BH59" s="342"/>
      <c r="BI59" s="342"/>
      <c r="BJ59" s="342"/>
    </row>
    <row r="60" spans="1:136" outlineLevel="1" x14ac:dyDescent="0.25">
      <c r="B60" s="464" t="s">
        <v>7</v>
      </c>
      <c r="C60" s="425"/>
      <c r="D60" s="425"/>
      <c r="E60" s="425"/>
      <c r="F60" s="425"/>
      <c r="G60" s="519"/>
      <c r="H60" s="519"/>
      <c r="I60" s="434"/>
      <c r="J60" s="434"/>
      <c r="K60" s="425"/>
      <c r="L60" s="470"/>
      <c r="M60" s="420"/>
      <c r="N60" s="514"/>
      <c r="O60" s="420"/>
      <c r="P60" s="515"/>
      <c r="Q60" s="420"/>
      <c r="R60" s="425"/>
      <c r="S60" s="516"/>
      <c r="T60" s="420"/>
      <c r="U60" s="515"/>
      <c r="V60" s="420"/>
      <c r="W60" s="425"/>
      <c r="X60" s="515"/>
      <c r="Y60" s="420"/>
      <c r="Z60" s="515"/>
      <c r="AA60" s="420"/>
      <c r="AB60" s="425"/>
      <c r="AC60" s="517"/>
      <c r="AD60" s="432"/>
      <c r="AE60" s="388"/>
      <c r="AF60" s="514"/>
      <c r="AG60" s="420"/>
      <c r="AH60" s="515"/>
      <c r="AI60" s="420"/>
      <c r="AJ60" s="425"/>
      <c r="AK60" s="516"/>
      <c r="AL60" s="420"/>
      <c r="AM60" s="515"/>
      <c r="AN60" s="420"/>
      <c r="AO60" s="425"/>
      <c r="AP60" s="515"/>
      <c r="AQ60" s="420"/>
      <c r="AR60" s="515"/>
      <c r="AS60" s="420"/>
      <c r="AT60" s="425"/>
      <c r="AU60" s="518"/>
      <c r="AV60" s="432"/>
      <c r="AX60" s="342"/>
      <c r="AY60" s="342"/>
      <c r="AZ60" s="342"/>
      <c r="BA60" s="342"/>
      <c r="BB60" s="342"/>
      <c r="BC60" s="342"/>
      <c r="BD60" s="342"/>
      <c r="BE60" s="342"/>
      <c r="BF60" s="342"/>
      <c r="BG60" s="342"/>
      <c r="BH60" s="342"/>
      <c r="BI60" s="342"/>
      <c r="BJ60" s="342"/>
    </row>
    <row r="61" spans="1:136" outlineLevel="1" x14ac:dyDescent="0.25">
      <c r="B61" s="472"/>
      <c r="C61" s="425"/>
      <c r="D61" s="425"/>
      <c r="E61" s="425"/>
      <c r="F61" s="425"/>
      <c r="G61" s="473"/>
      <c r="H61" s="427" t="str">
        <f>GENERALITES!$D$14</f>
        <v>kg</v>
      </c>
      <c r="I61" s="436"/>
      <c r="J61" s="430" t="s">
        <v>2</v>
      </c>
      <c r="K61" s="425"/>
      <c r="L61" s="470"/>
      <c r="M61" s="420"/>
      <c r="N61" s="514"/>
      <c r="O61" s="420"/>
      <c r="P61" s="515"/>
      <c r="Q61" s="420"/>
      <c r="R61" s="425"/>
      <c r="S61" s="516"/>
      <c r="T61" s="420"/>
      <c r="U61" s="515"/>
      <c r="V61" s="420"/>
      <c r="W61" s="425"/>
      <c r="X61" s="515"/>
      <c r="Y61" s="420"/>
      <c r="Z61" s="515"/>
      <c r="AA61" s="420"/>
      <c r="AB61" s="425"/>
      <c r="AC61" s="517"/>
      <c r="AD61" s="432"/>
      <c r="AE61" s="388"/>
      <c r="AF61" s="514"/>
      <c r="AG61" s="420"/>
      <c r="AH61" s="515"/>
      <c r="AI61" s="420"/>
      <c r="AJ61" s="425"/>
      <c r="AK61" s="516"/>
      <c r="AL61" s="420"/>
      <c r="AM61" s="515"/>
      <c r="AN61" s="420"/>
      <c r="AO61" s="425"/>
      <c r="AP61" s="515"/>
      <c r="AQ61" s="420"/>
      <c r="AR61" s="515"/>
      <c r="AS61" s="420"/>
      <c r="AT61" s="425"/>
      <c r="AU61" s="518"/>
      <c r="AV61" s="432"/>
      <c r="AX61" s="342"/>
      <c r="AY61" s="342"/>
      <c r="AZ61" s="342"/>
      <c r="BA61" s="342"/>
      <c r="BB61" s="342"/>
      <c r="BC61" s="342"/>
      <c r="BD61" s="342"/>
      <c r="BE61" s="342"/>
      <c r="BF61" s="342"/>
      <c r="BG61" s="342"/>
      <c r="BH61" s="342"/>
      <c r="BI61" s="342"/>
      <c r="BJ61" s="342"/>
    </row>
    <row r="62" spans="1:136" outlineLevel="1" x14ac:dyDescent="0.25">
      <c r="B62" s="472"/>
      <c r="C62" s="425"/>
      <c r="D62" s="425"/>
      <c r="E62" s="425"/>
      <c r="F62" s="425"/>
      <c r="G62" s="473"/>
      <c r="H62" s="427" t="str">
        <f>GENERALITES!$D$14</f>
        <v>kg</v>
      </c>
      <c r="I62" s="436"/>
      <c r="J62" s="430" t="s">
        <v>2</v>
      </c>
      <c r="K62" s="425"/>
      <c r="L62" s="470"/>
      <c r="M62" s="420"/>
      <c r="N62" s="514"/>
      <c r="O62" s="420"/>
      <c r="P62" s="515"/>
      <c r="Q62" s="420"/>
      <c r="R62" s="425"/>
      <c r="S62" s="516"/>
      <c r="T62" s="420"/>
      <c r="U62" s="515"/>
      <c r="V62" s="420"/>
      <c r="W62" s="425"/>
      <c r="X62" s="515"/>
      <c r="Y62" s="420"/>
      <c r="Z62" s="515"/>
      <c r="AA62" s="420"/>
      <c r="AB62" s="425"/>
      <c r="AC62" s="517"/>
      <c r="AD62" s="432"/>
      <c r="AE62" s="388"/>
      <c r="AF62" s="514"/>
      <c r="AG62" s="420"/>
      <c r="AH62" s="515"/>
      <c r="AI62" s="420"/>
      <c r="AJ62" s="425"/>
      <c r="AK62" s="516"/>
      <c r="AL62" s="420"/>
      <c r="AM62" s="515"/>
      <c r="AN62" s="420"/>
      <c r="AO62" s="425"/>
      <c r="AP62" s="515"/>
      <c r="AQ62" s="420"/>
      <c r="AR62" s="515"/>
      <c r="AS62" s="420"/>
      <c r="AT62" s="425"/>
      <c r="AU62" s="518"/>
      <c r="AV62" s="432"/>
      <c r="AX62" s="342"/>
      <c r="AY62" s="342"/>
      <c r="AZ62" s="342"/>
      <c r="BA62" s="342"/>
      <c r="BB62" s="342"/>
      <c r="BC62" s="342"/>
      <c r="BD62" s="342"/>
      <c r="BE62" s="342"/>
      <c r="BF62" s="342"/>
      <c r="BG62" s="342"/>
      <c r="BH62" s="342"/>
      <c r="BI62" s="342"/>
      <c r="BJ62" s="342"/>
    </row>
    <row r="63" spans="1:136" outlineLevel="1" x14ac:dyDescent="0.25">
      <c r="B63" s="472"/>
      <c r="C63" s="425"/>
      <c r="D63" s="425"/>
      <c r="E63" s="425"/>
      <c r="F63" s="425"/>
      <c r="G63" s="473"/>
      <c r="H63" s="427" t="str">
        <f>GENERALITES!$D$14</f>
        <v>kg</v>
      </c>
      <c r="I63" s="436"/>
      <c r="J63" s="430" t="s">
        <v>2</v>
      </c>
      <c r="K63" s="425"/>
      <c r="L63" s="470"/>
      <c r="M63" s="420"/>
      <c r="N63" s="514"/>
      <c r="O63" s="420"/>
      <c r="P63" s="515"/>
      <c r="Q63" s="420"/>
      <c r="R63" s="425"/>
      <c r="S63" s="516"/>
      <c r="T63" s="420"/>
      <c r="U63" s="515"/>
      <c r="V63" s="420"/>
      <c r="W63" s="425"/>
      <c r="X63" s="515"/>
      <c r="Y63" s="420"/>
      <c r="Z63" s="515"/>
      <c r="AA63" s="420"/>
      <c r="AB63" s="425"/>
      <c r="AC63" s="517"/>
      <c r="AD63" s="432"/>
      <c r="AE63" s="388"/>
      <c r="AF63" s="514"/>
      <c r="AG63" s="420"/>
      <c r="AH63" s="515"/>
      <c r="AI63" s="420"/>
      <c r="AJ63" s="425"/>
      <c r="AK63" s="516"/>
      <c r="AL63" s="420"/>
      <c r="AM63" s="515"/>
      <c r="AN63" s="420"/>
      <c r="AO63" s="425"/>
      <c r="AP63" s="515"/>
      <c r="AQ63" s="420"/>
      <c r="AR63" s="515"/>
      <c r="AS63" s="420"/>
      <c r="AT63" s="425"/>
      <c r="AU63" s="518"/>
      <c r="AV63" s="432"/>
      <c r="AX63" s="342"/>
      <c r="AY63" s="342"/>
      <c r="AZ63" s="342"/>
      <c r="BA63" s="342"/>
      <c r="BB63" s="342"/>
      <c r="BC63" s="342"/>
      <c r="BD63" s="342"/>
      <c r="BE63" s="342"/>
      <c r="BF63" s="342"/>
      <c r="BG63" s="342"/>
      <c r="BH63" s="342"/>
      <c r="BI63" s="342"/>
      <c r="BJ63" s="342"/>
    </row>
    <row r="64" spans="1:136" outlineLevel="1" x14ac:dyDescent="0.25">
      <c r="B64" s="472"/>
      <c r="C64" s="425"/>
      <c r="D64" s="425"/>
      <c r="E64" s="425"/>
      <c r="F64" s="425"/>
      <c r="G64" s="473"/>
      <c r="H64" s="427" t="str">
        <f>GENERALITES!$D$14</f>
        <v>kg</v>
      </c>
      <c r="I64" s="436"/>
      <c r="J64" s="430" t="s">
        <v>2</v>
      </c>
      <c r="K64" s="425"/>
      <c r="L64" s="470"/>
      <c r="M64" s="420"/>
      <c r="N64" s="514"/>
      <c r="O64" s="420"/>
      <c r="P64" s="515"/>
      <c r="Q64" s="420"/>
      <c r="R64" s="425"/>
      <c r="S64" s="516"/>
      <c r="T64" s="420"/>
      <c r="U64" s="515"/>
      <c r="V64" s="420"/>
      <c r="W64" s="425"/>
      <c r="X64" s="515"/>
      <c r="Y64" s="420"/>
      <c r="Z64" s="515"/>
      <c r="AA64" s="420"/>
      <c r="AB64" s="425"/>
      <c r="AC64" s="517"/>
      <c r="AD64" s="432"/>
      <c r="AE64" s="388"/>
      <c r="AF64" s="514"/>
      <c r="AG64" s="420"/>
      <c r="AH64" s="515"/>
      <c r="AI64" s="420"/>
      <c r="AJ64" s="425"/>
      <c r="AK64" s="516"/>
      <c r="AL64" s="420"/>
      <c r="AM64" s="515"/>
      <c r="AN64" s="420"/>
      <c r="AO64" s="425"/>
      <c r="AP64" s="515"/>
      <c r="AQ64" s="420"/>
      <c r="AR64" s="515"/>
      <c r="AS64" s="420"/>
      <c r="AT64" s="425"/>
      <c r="AU64" s="518"/>
      <c r="AV64" s="432"/>
      <c r="AX64" s="342"/>
      <c r="AY64" s="342"/>
      <c r="AZ64" s="342"/>
      <c r="BA64" s="342"/>
      <c r="BB64" s="342"/>
      <c r="BC64" s="342"/>
      <c r="BD64" s="342"/>
      <c r="BE64" s="342"/>
      <c r="BF64" s="342"/>
      <c r="BG64" s="342"/>
      <c r="BH64" s="342"/>
      <c r="BI64" s="342"/>
      <c r="BJ64" s="342"/>
    </row>
    <row r="65" spans="1:136"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8"/>
      <c r="W65" s="478"/>
      <c r="X65" s="478"/>
      <c r="Y65" s="478"/>
      <c r="Z65" s="478"/>
      <c r="AA65" s="478"/>
      <c r="AB65" s="478"/>
      <c r="AC65" s="478"/>
      <c r="AD65" s="479"/>
      <c r="AE65" s="440"/>
      <c r="AF65" s="444"/>
      <c r="AG65" s="445"/>
      <c r="AH65" s="445"/>
      <c r="AI65" s="445"/>
      <c r="AJ65" s="445"/>
      <c r="AK65" s="445"/>
      <c r="AL65" s="445"/>
      <c r="AM65" s="445"/>
      <c r="AN65" s="445"/>
      <c r="AO65" s="445"/>
      <c r="AP65" s="445"/>
      <c r="AQ65" s="445"/>
      <c r="AR65" s="445"/>
      <c r="AS65" s="445"/>
      <c r="AT65" s="445"/>
      <c r="AU65" s="445"/>
      <c r="AV65" s="446"/>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c r="DQ65" s="388"/>
      <c r="DR65" s="388"/>
      <c r="DS65" s="388"/>
      <c r="DT65" s="388"/>
      <c r="DU65" s="388"/>
      <c r="DV65" s="388"/>
      <c r="DW65" s="388"/>
      <c r="DX65" s="388"/>
      <c r="DY65" s="388"/>
      <c r="DZ65" s="388"/>
      <c r="EA65" s="388"/>
      <c r="EB65" s="388"/>
      <c r="EC65" s="388"/>
      <c r="ED65" s="388"/>
      <c r="EE65" s="388"/>
      <c r="EF65" s="388"/>
    </row>
    <row r="66" spans="1:136" ht="21.75" customHeight="1" thickBot="1" x14ac:dyDescent="0.3">
      <c r="A66" s="440"/>
      <c r="B66" s="508" t="str">
        <f>GENERALITES!$B$48</f>
        <v>Autre énergie</v>
      </c>
      <c r="C66" s="509"/>
      <c r="D66" s="509"/>
      <c r="E66" s="509"/>
      <c r="F66" s="509"/>
      <c r="G66" s="509"/>
      <c r="H66" s="510"/>
      <c r="I66" s="342"/>
      <c r="J66" s="342"/>
      <c r="K66" s="342"/>
      <c r="L66" s="342"/>
      <c r="M66" s="342"/>
      <c r="N66" s="342"/>
      <c r="O66" s="342"/>
      <c r="P66" s="342"/>
      <c r="Q66" s="342"/>
      <c r="R66" s="342"/>
      <c r="S66" s="342"/>
      <c r="T66" s="342"/>
      <c r="U66" s="342"/>
      <c r="V66" s="342"/>
      <c r="W66" s="342"/>
      <c r="X66" s="342"/>
      <c r="Y66" s="342"/>
      <c r="Z66" s="342"/>
      <c r="AA66" s="342"/>
      <c r="AB66" s="342"/>
      <c r="AC66" s="342"/>
      <c r="AD66" s="342"/>
      <c r="AE66" s="440"/>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t="s">
        <v>40</v>
      </c>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c r="DQ66" s="388"/>
      <c r="DR66" s="388"/>
      <c r="DS66" s="388"/>
      <c r="DT66" s="388"/>
      <c r="DU66" s="388"/>
      <c r="DV66" s="388"/>
      <c r="DW66" s="388"/>
      <c r="DX66" s="388"/>
      <c r="DY66" s="388"/>
      <c r="DZ66" s="388"/>
      <c r="EA66" s="388"/>
      <c r="EB66" s="388"/>
      <c r="EC66" s="388"/>
      <c r="ED66" s="388"/>
      <c r="EE66" s="388"/>
      <c r="EF66" s="388"/>
    </row>
    <row r="67" spans="1:136"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3"/>
      <c r="W67" s="413"/>
      <c r="X67" s="413"/>
      <c r="Y67" s="413"/>
      <c r="Z67" s="413"/>
      <c r="AA67" s="413"/>
      <c r="AB67" s="413"/>
      <c r="AC67" s="413"/>
      <c r="AD67" s="414"/>
      <c r="AF67" s="412"/>
      <c r="AG67" s="413"/>
      <c r="AH67" s="413"/>
      <c r="AI67" s="413"/>
      <c r="AJ67" s="413"/>
      <c r="AK67" s="413"/>
      <c r="AL67" s="413"/>
      <c r="AM67" s="413"/>
      <c r="AN67" s="413"/>
      <c r="AO67" s="413"/>
      <c r="AP67" s="413"/>
      <c r="AQ67" s="413"/>
      <c r="AR67" s="413"/>
      <c r="AS67" s="413"/>
      <c r="AT67" s="413"/>
      <c r="AU67" s="413"/>
      <c r="AV67" s="414"/>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c r="DQ67" s="388"/>
      <c r="DR67" s="388"/>
      <c r="DS67" s="388"/>
      <c r="DT67" s="388"/>
      <c r="DU67" s="388"/>
      <c r="DV67" s="388"/>
      <c r="DW67" s="388"/>
      <c r="DX67" s="388"/>
      <c r="DY67" s="388"/>
      <c r="DZ67" s="388"/>
      <c r="EA67" s="388"/>
      <c r="EB67" s="388"/>
      <c r="EC67" s="388"/>
      <c r="ED67" s="388"/>
      <c r="EE67" s="388"/>
      <c r="EF67" s="388"/>
    </row>
    <row r="68" spans="1:136" ht="15" customHeight="1"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289"/>
      <c r="W68" s="289"/>
      <c r="X68" s="289"/>
      <c r="Y68" s="289"/>
      <c r="Z68" s="289"/>
      <c r="AA68" s="289"/>
      <c r="AB68" s="289"/>
      <c r="AC68" s="289"/>
      <c r="AD68" s="419"/>
      <c r="AE68" s="388"/>
      <c r="AF68" s="418" t="s">
        <v>68</v>
      </c>
      <c r="AG68" s="289"/>
      <c r="AH68" s="289"/>
      <c r="AI68" s="289"/>
      <c r="AJ68" s="289"/>
      <c r="AK68" s="289"/>
      <c r="AL68" s="289"/>
      <c r="AM68" s="289"/>
      <c r="AN68" s="289"/>
      <c r="AO68" s="289"/>
      <c r="AP68" s="289"/>
      <c r="AQ68" s="289"/>
      <c r="AR68" s="289"/>
      <c r="AS68" s="289"/>
      <c r="AT68" s="289"/>
      <c r="AU68" s="289"/>
      <c r="AV68" s="419"/>
      <c r="AW68" s="388"/>
      <c r="AX68" s="342"/>
      <c r="AY68" s="342"/>
      <c r="AZ68" s="342"/>
      <c r="BA68" s="342"/>
      <c r="BB68" s="342"/>
      <c r="BC68" s="342"/>
      <c r="BD68" s="342"/>
      <c r="BE68" s="342"/>
      <c r="BF68" s="342"/>
      <c r="BG68" s="342"/>
      <c r="BH68" s="342"/>
      <c r="BI68" s="342"/>
      <c r="BJ68" s="342"/>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c r="DQ68" s="388"/>
      <c r="DR68" s="388"/>
      <c r="DS68" s="388"/>
      <c r="DT68" s="388"/>
      <c r="DU68" s="388"/>
      <c r="DV68" s="388"/>
      <c r="DW68" s="388"/>
      <c r="DX68" s="388"/>
      <c r="DY68" s="388"/>
      <c r="DZ68" s="388"/>
      <c r="EA68" s="388"/>
      <c r="EB68" s="388"/>
      <c r="EC68" s="388"/>
      <c r="ED68" s="388"/>
      <c r="EE68" s="388"/>
      <c r="EF68" s="388"/>
    </row>
    <row r="69" spans="1:136" ht="43.5" customHeight="1" outlineLevel="1" x14ac:dyDescent="0.25">
      <c r="A69" s="440"/>
      <c r="B69" s="464" t="s">
        <v>17</v>
      </c>
      <c r="C69" s="425"/>
      <c r="D69" s="425"/>
      <c r="E69" s="425"/>
      <c r="F69" s="425"/>
      <c r="G69" s="422" t="s">
        <v>177</v>
      </c>
      <c r="H69" s="270"/>
      <c r="I69" s="422" t="s">
        <v>178</v>
      </c>
      <c r="J69" s="447"/>
      <c r="K69" s="447"/>
      <c r="L69" s="401"/>
      <c r="M69" s="420"/>
      <c r="N69" s="269" t="s">
        <v>69</v>
      </c>
      <c r="O69" s="270"/>
      <c r="P69" s="422" t="s">
        <v>93</v>
      </c>
      <c r="Q69" s="270"/>
      <c r="R69" s="425"/>
      <c r="S69" s="422" t="s">
        <v>97</v>
      </c>
      <c r="T69" s="270"/>
      <c r="U69" s="422" t="s">
        <v>98</v>
      </c>
      <c r="V69" s="270"/>
      <c r="W69" s="425"/>
      <c r="X69" s="422" t="s">
        <v>193</v>
      </c>
      <c r="Y69" s="270"/>
      <c r="Z69" s="422" t="s">
        <v>194</v>
      </c>
      <c r="AA69" s="270"/>
      <c r="AB69" s="425"/>
      <c r="AC69" s="422" t="s">
        <v>195</v>
      </c>
      <c r="AD69" s="401"/>
      <c r="AE69" s="388"/>
      <c r="AF69" s="269" t="s">
        <v>68</v>
      </c>
      <c r="AG69" s="270"/>
      <c r="AH69" s="422" t="s">
        <v>101</v>
      </c>
      <c r="AI69" s="270"/>
      <c r="AJ69" s="425"/>
      <c r="AK69" s="422" t="s">
        <v>99</v>
      </c>
      <c r="AL69" s="270"/>
      <c r="AM69" s="422" t="s">
        <v>100</v>
      </c>
      <c r="AN69" s="270"/>
      <c r="AO69" s="425"/>
      <c r="AP69" s="422" t="s">
        <v>218</v>
      </c>
      <c r="AQ69" s="270"/>
      <c r="AR69" s="422" t="s">
        <v>219</v>
      </c>
      <c r="AS69" s="270"/>
      <c r="AT69" s="425"/>
      <c r="AU69" s="422" t="s">
        <v>220</v>
      </c>
      <c r="AV69" s="401"/>
      <c r="AW69" s="388"/>
      <c r="AX69" s="342"/>
      <c r="AY69" s="342"/>
      <c r="AZ69" s="342"/>
      <c r="BA69" s="342"/>
      <c r="BB69" s="342"/>
      <c r="BC69" s="342"/>
      <c r="BD69" s="342"/>
      <c r="BE69" s="342"/>
      <c r="BF69" s="342"/>
      <c r="BG69" s="342"/>
      <c r="BH69" s="342"/>
      <c r="BI69" s="342"/>
      <c r="BJ69" s="342"/>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c r="DQ69" s="388"/>
      <c r="DR69" s="388"/>
      <c r="DS69" s="388"/>
      <c r="DT69" s="388"/>
      <c r="DU69" s="388"/>
      <c r="DV69" s="388"/>
      <c r="DW69" s="388"/>
      <c r="DX69" s="388"/>
      <c r="DY69" s="388"/>
      <c r="DZ69" s="388"/>
      <c r="EA69" s="388"/>
      <c r="EB69" s="388"/>
      <c r="EC69" s="388"/>
      <c r="ED69" s="388"/>
      <c r="EE69" s="388"/>
      <c r="EF69" s="388"/>
    </row>
    <row r="70" spans="1:136" outlineLevel="1" x14ac:dyDescent="0.25">
      <c r="A70" s="440"/>
      <c r="B70" s="435" t="s">
        <v>18</v>
      </c>
      <c r="C70" s="425"/>
      <c r="D70" s="425"/>
      <c r="E70" s="425"/>
      <c r="F70" s="425"/>
      <c r="G70" s="469"/>
      <c r="H70" s="427">
        <f>GENERALITES!$D$15</f>
        <v>0</v>
      </c>
      <c r="I70" s="485">
        <f>$N$10</f>
        <v>2.1313614615050023</v>
      </c>
      <c r="J70" s="449" t="s">
        <v>2</v>
      </c>
      <c r="K70" s="302">
        <f>IF(B70=Annexes!$B$3,G70*I70/100,SUMPRODUCT(G73:G76,I73:I76/100))</f>
        <v>0</v>
      </c>
      <c r="L70" s="428">
        <f>GENERALITES!$D$15</f>
        <v>0</v>
      </c>
      <c r="M70" s="420"/>
      <c r="N70" s="437">
        <f>GENERALITES!$D$48</f>
        <v>0</v>
      </c>
      <c r="O70" s="427" t="str">
        <f>GENERALITES!$E$48</f>
        <v xml:space="preserve">€ / </v>
      </c>
      <c r="P70" s="302">
        <f>IF(B70=Annexes!$B$3,G70*N70,SUM(G73:G76)*N70)</f>
        <v>0</v>
      </c>
      <c r="Q70" s="427" t="s">
        <v>6</v>
      </c>
      <c r="R70" s="425"/>
      <c r="S70" s="302">
        <f>'ETAPE 1'!R70</f>
        <v>0</v>
      </c>
      <c r="T70" s="520" t="s">
        <v>72</v>
      </c>
      <c r="U70" s="448">
        <f>S70*$B$10</f>
        <v>0</v>
      </c>
      <c r="V70" s="427" t="s">
        <v>6</v>
      </c>
      <c r="W70" s="425"/>
      <c r="X70" s="302">
        <f>P70+U70</f>
        <v>0</v>
      </c>
      <c r="Y70" s="427" t="s">
        <v>6</v>
      </c>
      <c r="Z70" s="302">
        <f>IF($E$10&lt;&gt;0,X70/$E$10,0)</f>
        <v>0</v>
      </c>
      <c r="AA70" s="427" t="s">
        <v>72</v>
      </c>
      <c r="AB70" s="425"/>
      <c r="AC70" s="302">
        <f>$N$10/100*U70+IF(B70=Annexes!$B$3,I70/100*P70,IF(SUM(G73:G76)&gt;0,K70/SUM(G73:G76)*P70,0))</f>
        <v>0</v>
      </c>
      <c r="AD70" s="428" t="s">
        <v>6</v>
      </c>
      <c r="AE70" s="388"/>
      <c r="AF70" s="437">
        <f>GENERALITES!$M$48</f>
        <v>0</v>
      </c>
      <c r="AG70" s="427" t="str">
        <f>GENERALITES!$N$48</f>
        <v xml:space="preserve">TCO2 / </v>
      </c>
      <c r="AH70" s="302">
        <f>IF(B70=Annexes!$B$3,G70*AF70,SUM(G73:G76)*AF70)</f>
        <v>0</v>
      </c>
      <c r="AI70" s="427" t="s">
        <v>21</v>
      </c>
      <c r="AJ70" s="425"/>
      <c r="AK70" s="302">
        <f>'ETAPE 1'!AB70</f>
        <v>0</v>
      </c>
      <c r="AL70" s="427" t="s">
        <v>73</v>
      </c>
      <c r="AM70" s="448">
        <f>AK70*$B$10</f>
        <v>0</v>
      </c>
      <c r="AN70" s="427" t="s">
        <v>21</v>
      </c>
      <c r="AO70" s="425"/>
      <c r="AP70" s="302">
        <f>AH70+AM70</f>
        <v>0</v>
      </c>
      <c r="AQ70" s="427" t="s">
        <v>21</v>
      </c>
      <c r="AR70" s="302">
        <f>IF($E$10&lt;&gt;0,AP70/$E$10,0)</f>
        <v>0</v>
      </c>
      <c r="AS70" s="427" t="s">
        <v>73</v>
      </c>
      <c r="AT70" s="425"/>
      <c r="AU70" s="302">
        <f>$N$10/100*AM70+IF(B70=Annexes!$B$3,I70/100*AH70,IF(SUM(G73:G76)&gt;0,K70/SUM(G73:G76)*AH70,0))</f>
        <v>0</v>
      </c>
      <c r="AV70" s="428" t="s">
        <v>21</v>
      </c>
      <c r="AW70" s="388"/>
      <c r="AX70" s="342"/>
      <c r="AY70" s="342"/>
      <c r="AZ70" s="342"/>
      <c r="BA70" s="342"/>
      <c r="BB70" s="342"/>
      <c r="BC70" s="342"/>
      <c r="BD70" s="342"/>
      <c r="BE70" s="342"/>
      <c r="BF70" s="342"/>
      <c r="BG70" s="342"/>
      <c r="BH70" s="342"/>
      <c r="BI70" s="342"/>
      <c r="BJ70" s="342"/>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c r="DQ70" s="388"/>
      <c r="DR70" s="388"/>
      <c r="DS70" s="388"/>
      <c r="DT70" s="388"/>
      <c r="DU70" s="388"/>
      <c r="DV70" s="388"/>
      <c r="DW70" s="388"/>
      <c r="DX70" s="388"/>
      <c r="DY70" s="388"/>
      <c r="DZ70" s="388"/>
      <c r="EA70" s="388"/>
      <c r="EB70" s="388"/>
      <c r="EC70" s="388"/>
      <c r="ED70" s="388"/>
      <c r="EE70" s="388"/>
      <c r="EF70" s="388"/>
    </row>
    <row r="71" spans="1:136" outlineLevel="1" x14ac:dyDescent="0.25">
      <c r="A71" s="440"/>
      <c r="B71" s="431"/>
      <c r="C71" s="425"/>
      <c r="D71" s="425"/>
      <c r="E71" s="425"/>
      <c r="F71" s="425"/>
      <c r="G71" s="420"/>
      <c r="H71" s="420"/>
      <c r="I71" s="420"/>
      <c r="J71" s="420"/>
      <c r="K71" s="420"/>
      <c r="L71" s="432"/>
      <c r="M71" s="420"/>
      <c r="N71" s="514"/>
      <c r="O71" s="420"/>
      <c r="P71" s="515"/>
      <c r="Q71" s="420"/>
      <c r="R71" s="425"/>
      <c r="S71" s="516"/>
      <c r="T71" s="420"/>
      <c r="U71" s="515"/>
      <c r="V71" s="420"/>
      <c r="W71" s="425"/>
      <c r="X71" s="515"/>
      <c r="Y71" s="420"/>
      <c r="Z71" s="515"/>
      <c r="AA71" s="420"/>
      <c r="AB71" s="425"/>
      <c r="AC71" s="517"/>
      <c r="AD71" s="432"/>
      <c r="AE71" s="388"/>
      <c r="AF71" s="514"/>
      <c r="AG71" s="420"/>
      <c r="AH71" s="515"/>
      <c r="AI71" s="420"/>
      <c r="AJ71" s="425"/>
      <c r="AK71" s="516"/>
      <c r="AL71" s="420"/>
      <c r="AM71" s="515"/>
      <c r="AN71" s="420"/>
      <c r="AO71" s="425"/>
      <c r="AP71" s="515"/>
      <c r="AQ71" s="420"/>
      <c r="AR71" s="515"/>
      <c r="AS71" s="420"/>
      <c r="AT71" s="425"/>
      <c r="AU71" s="518"/>
      <c r="AV71" s="432"/>
      <c r="AW71" s="388"/>
      <c r="AX71" s="342"/>
      <c r="AY71" s="342"/>
      <c r="AZ71" s="342"/>
      <c r="BA71" s="342"/>
      <c r="BB71" s="342"/>
      <c r="BC71" s="342"/>
      <c r="BD71" s="342"/>
      <c r="BE71" s="342"/>
      <c r="BF71" s="342"/>
      <c r="BG71" s="342"/>
      <c r="BH71" s="342"/>
      <c r="BI71" s="342"/>
      <c r="BJ71" s="342"/>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c r="DQ71" s="388"/>
      <c r="DR71" s="388"/>
      <c r="DS71" s="388"/>
      <c r="DT71" s="388"/>
      <c r="DU71" s="388"/>
      <c r="DV71" s="388"/>
      <c r="DW71" s="388"/>
      <c r="DX71" s="388"/>
      <c r="DY71" s="388"/>
      <c r="DZ71" s="388"/>
      <c r="EA71" s="388"/>
      <c r="EB71" s="388"/>
      <c r="EC71" s="388"/>
      <c r="ED71" s="388"/>
      <c r="EE71" s="388"/>
      <c r="EF71" s="388"/>
    </row>
    <row r="72" spans="1:136" outlineLevel="1" x14ac:dyDescent="0.25">
      <c r="A72" s="440"/>
      <c r="B72" s="464" t="s">
        <v>7</v>
      </c>
      <c r="C72" s="425"/>
      <c r="D72" s="425"/>
      <c r="E72" s="425"/>
      <c r="F72" s="425"/>
      <c r="G72" s="519"/>
      <c r="H72" s="519"/>
      <c r="I72" s="434"/>
      <c r="J72" s="434"/>
      <c r="K72" s="425"/>
      <c r="L72" s="470"/>
      <c r="M72" s="420"/>
      <c r="N72" s="514"/>
      <c r="O72" s="420"/>
      <c r="P72" s="515"/>
      <c r="Q72" s="420"/>
      <c r="R72" s="425"/>
      <c r="S72" s="516"/>
      <c r="T72" s="420"/>
      <c r="U72" s="515"/>
      <c r="V72" s="420"/>
      <c r="W72" s="425"/>
      <c r="X72" s="515"/>
      <c r="Y72" s="420"/>
      <c r="Z72" s="515"/>
      <c r="AA72" s="420"/>
      <c r="AB72" s="425"/>
      <c r="AC72" s="517"/>
      <c r="AD72" s="432"/>
      <c r="AE72" s="388"/>
      <c r="AF72" s="514"/>
      <c r="AG72" s="420"/>
      <c r="AH72" s="515"/>
      <c r="AI72" s="420"/>
      <c r="AJ72" s="425"/>
      <c r="AK72" s="516"/>
      <c r="AL72" s="420"/>
      <c r="AM72" s="515"/>
      <c r="AN72" s="420"/>
      <c r="AO72" s="425"/>
      <c r="AP72" s="515"/>
      <c r="AQ72" s="420"/>
      <c r="AR72" s="515"/>
      <c r="AS72" s="420"/>
      <c r="AT72" s="425"/>
      <c r="AU72" s="518"/>
      <c r="AV72" s="432"/>
      <c r="AW72" s="388"/>
      <c r="AX72" s="342"/>
      <c r="AY72" s="342"/>
      <c r="AZ72" s="342"/>
      <c r="BA72" s="342"/>
      <c r="BB72" s="342"/>
      <c r="BC72" s="342"/>
      <c r="BD72" s="342"/>
      <c r="BE72" s="342"/>
      <c r="BF72" s="342"/>
      <c r="BG72" s="342"/>
      <c r="BH72" s="342"/>
      <c r="BI72" s="342"/>
      <c r="BJ72" s="342"/>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c r="DQ72" s="388"/>
      <c r="DR72" s="388"/>
      <c r="DS72" s="388"/>
      <c r="DT72" s="388"/>
      <c r="DU72" s="388"/>
      <c r="DV72" s="388"/>
      <c r="DW72" s="388"/>
      <c r="DX72" s="388"/>
      <c r="DY72" s="388"/>
      <c r="DZ72" s="388"/>
      <c r="EA72" s="388"/>
      <c r="EB72" s="388"/>
      <c r="EC72" s="388"/>
      <c r="ED72" s="388"/>
      <c r="EE72" s="388"/>
      <c r="EF72" s="388"/>
    </row>
    <row r="73" spans="1:136" outlineLevel="1" x14ac:dyDescent="0.25">
      <c r="A73" s="440"/>
      <c r="B73" s="472"/>
      <c r="C73" s="425"/>
      <c r="D73" s="425"/>
      <c r="E73" s="425"/>
      <c r="F73" s="425"/>
      <c r="G73" s="473"/>
      <c r="H73" s="427">
        <f>GENERALITES!$D$15</f>
        <v>0</v>
      </c>
      <c r="I73" s="436"/>
      <c r="J73" s="430" t="s">
        <v>2</v>
      </c>
      <c r="K73" s="425"/>
      <c r="L73" s="470"/>
      <c r="M73" s="420"/>
      <c r="N73" s="514"/>
      <c r="O73" s="420"/>
      <c r="P73" s="515"/>
      <c r="Q73" s="420"/>
      <c r="R73" s="425"/>
      <c r="S73" s="516"/>
      <c r="T73" s="420"/>
      <c r="U73" s="515"/>
      <c r="V73" s="420"/>
      <c r="W73" s="425"/>
      <c r="X73" s="515"/>
      <c r="Y73" s="420"/>
      <c r="Z73" s="515"/>
      <c r="AA73" s="420"/>
      <c r="AB73" s="425"/>
      <c r="AC73" s="517"/>
      <c r="AD73" s="432"/>
      <c r="AE73" s="388"/>
      <c r="AF73" s="514"/>
      <c r="AG73" s="420"/>
      <c r="AH73" s="515"/>
      <c r="AI73" s="420"/>
      <c r="AJ73" s="425"/>
      <c r="AK73" s="516"/>
      <c r="AL73" s="420"/>
      <c r="AM73" s="515"/>
      <c r="AN73" s="420"/>
      <c r="AO73" s="425"/>
      <c r="AP73" s="515"/>
      <c r="AQ73" s="420"/>
      <c r="AR73" s="515"/>
      <c r="AS73" s="420"/>
      <c r="AT73" s="425"/>
      <c r="AU73" s="518"/>
      <c r="AV73" s="432"/>
      <c r="AW73" s="388"/>
      <c r="AX73" s="342"/>
      <c r="AY73" s="342"/>
      <c r="AZ73" s="342"/>
      <c r="BA73" s="342"/>
      <c r="BB73" s="342"/>
      <c r="BC73" s="342"/>
      <c r="BD73" s="342"/>
      <c r="BE73" s="342"/>
      <c r="BF73" s="342"/>
      <c r="BG73" s="342"/>
      <c r="BH73" s="342"/>
      <c r="BI73" s="342"/>
      <c r="BJ73" s="342"/>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c r="DQ73" s="388"/>
      <c r="DR73" s="388"/>
      <c r="DS73" s="388"/>
      <c r="DT73" s="388"/>
      <c r="DU73" s="388"/>
      <c r="DV73" s="388"/>
      <c r="DW73" s="388"/>
      <c r="DX73" s="388"/>
      <c r="DY73" s="388"/>
      <c r="DZ73" s="388"/>
      <c r="EA73" s="388"/>
      <c r="EB73" s="388"/>
      <c r="EC73" s="388"/>
      <c r="ED73" s="388"/>
      <c r="EE73" s="388"/>
      <c r="EF73" s="388"/>
    </row>
    <row r="74" spans="1:136" outlineLevel="1" x14ac:dyDescent="0.25">
      <c r="A74" s="440"/>
      <c r="B74" s="472"/>
      <c r="C74" s="425"/>
      <c r="D74" s="425"/>
      <c r="E74" s="425"/>
      <c r="F74" s="425"/>
      <c r="G74" s="473"/>
      <c r="H74" s="427">
        <f>GENERALITES!$D$15</f>
        <v>0</v>
      </c>
      <c r="I74" s="436"/>
      <c r="J74" s="430" t="s">
        <v>2</v>
      </c>
      <c r="K74" s="425"/>
      <c r="L74" s="470"/>
      <c r="M74" s="420"/>
      <c r="N74" s="514"/>
      <c r="O74" s="420"/>
      <c r="P74" s="515"/>
      <c r="Q74" s="420"/>
      <c r="R74" s="425"/>
      <c r="S74" s="516"/>
      <c r="T74" s="420"/>
      <c r="U74" s="515"/>
      <c r="V74" s="420"/>
      <c r="W74" s="425"/>
      <c r="X74" s="515"/>
      <c r="Y74" s="420"/>
      <c r="Z74" s="515"/>
      <c r="AA74" s="420"/>
      <c r="AB74" s="425"/>
      <c r="AC74" s="517"/>
      <c r="AD74" s="432"/>
      <c r="AE74" s="388"/>
      <c r="AF74" s="514"/>
      <c r="AG74" s="420"/>
      <c r="AH74" s="515"/>
      <c r="AI74" s="420"/>
      <c r="AJ74" s="425"/>
      <c r="AK74" s="516"/>
      <c r="AL74" s="420"/>
      <c r="AM74" s="515"/>
      <c r="AN74" s="420"/>
      <c r="AO74" s="425"/>
      <c r="AP74" s="515"/>
      <c r="AQ74" s="420"/>
      <c r="AR74" s="515"/>
      <c r="AS74" s="420"/>
      <c r="AT74" s="425"/>
      <c r="AU74" s="518"/>
      <c r="AV74" s="432"/>
      <c r="AW74" s="388"/>
      <c r="AX74" s="342"/>
      <c r="AY74" s="342"/>
      <c r="AZ74" s="342"/>
      <c r="BA74" s="342"/>
      <c r="BB74" s="342"/>
      <c r="BC74" s="342"/>
      <c r="BD74" s="342"/>
      <c r="BE74" s="342"/>
      <c r="BF74" s="342"/>
      <c r="BG74" s="342"/>
      <c r="BH74" s="342"/>
      <c r="BI74" s="342"/>
      <c r="BJ74" s="342"/>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c r="DQ74" s="388"/>
      <c r="DR74" s="388"/>
      <c r="DS74" s="388"/>
      <c r="DT74" s="388"/>
      <c r="DU74" s="388"/>
      <c r="DV74" s="388"/>
      <c r="DW74" s="388"/>
      <c r="DX74" s="388"/>
      <c r="DY74" s="388"/>
      <c r="DZ74" s="388"/>
      <c r="EA74" s="388"/>
      <c r="EB74" s="388"/>
      <c r="EC74" s="388"/>
      <c r="ED74" s="388"/>
      <c r="EE74" s="388"/>
      <c r="EF74" s="388"/>
    </row>
    <row r="75" spans="1:136" outlineLevel="1" x14ac:dyDescent="0.25">
      <c r="A75" s="440"/>
      <c r="B75" s="472"/>
      <c r="C75" s="425"/>
      <c r="D75" s="425"/>
      <c r="E75" s="425"/>
      <c r="F75" s="425"/>
      <c r="G75" s="473"/>
      <c r="H75" s="427">
        <f>GENERALITES!$D$15</f>
        <v>0</v>
      </c>
      <c r="I75" s="436"/>
      <c r="J75" s="430" t="s">
        <v>2</v>
      </c>
      <c r="K75" s="425"/>
      <c r="L75" s="470"/>
      <c r="M75" s="420"/>
      <c r="N75" s="514"/>
      <c r="O75" s="420"/>
      <c r="P75" s="515"/>
      <c r="Q75" s="420"/>
      <c r="R75" s="425"/>
      <c r="S75" s="516"/>
      <c r="T75" s="420"/>
      <c r="U75" s="515"/>
      <c r="V75" s="420"/>
      <c r="W75" s="425"/>
      <c r="X75" s="515"/>
      <c r="Y75" s="420"/>
      <c r="Z75" s="515"/>
      <c r="AA75" s="420"/>
      <c r="AB75" s="425"/>
      <c r="AC75" s="517"/>
      <c r="AD75" s="432"/>
      <c r="AE75" s="388"/>
      <c r="AF75" s="514"/>
      <c r="AG75" s="420"/>
      <c r="AH75" s="515"/>
      <c r="AI75" s="420"/>
      <c r="AJ75" s="425"/>
      <c r="AK75" s="516"/>
      <c r="AL75" s="420"/>
      <c r="AM75" s="515"/>
      <c r="AN75" s="420"/>
      <c r="AO75" s="425"/>
      <c r="AP75" s="515"/>
      <c r="AQ75" s="420"/>
      <c r="AR75" s="515"/>
      <c r="AS75" s="420"/>
      <c r="AT75" s="425"/>
      <c r="AU75" s="518"/>
      <c r="AV75" s="432"/>
      <c r="AW75" s="388"/>
      <c r="AX75" s="342"/>
      <c r="AY75" s="342"/>
      <c r="AZ75" s="342"/>
      <c r="BA75" s="342"/>
      <c r="BB75" s="342"/>
      <c r="BC75" s="342"/>
      <c r="BD75" s="342"/>
      <c r="BE75" s="342"/>
      <c r="BF75" s="342"/>
      <c r="BG75" s="342"/>
      <c r="BH75" s="342"/>
      <c r="BI75" s="342"/>
      <c r="BJ75" s="342"/>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c r="DQ75" s="388"/>
      <c r="DR75" s="388"/>
      <c r="DS75" s="388"/>
      <c r="DT75" s="388"/>
      <c r="DU75" s="388"/>
      <c r="DV75" s="388"/>
      <c r="DW75" s="388"/>
      <c r="DX75" s="388"/>
      <c r="DY75" s="388"/>
      <c r="DZ75" s="388"/>
      <c r="EA75" s="388"/>
      <c r="EB75" s="388"/>
      <c r="EC75" s="388"/>
      <c r="ED75" s="388"/>
      <c r="EE75" s="388"/>
      <c r="EF75" s="388"/>
    </row>
    <row r="76" spans="1:136" outlineLevel="1" x14ac:dyDescent="0.25">
      <c r="A76" s="440"/>
      <c r="B76" s="472"/>
      <c r="C76" s="425"/>
      <c r="D76" s="425"/>
      <c r="E76" s="425"/>
      <c r="F76" s="425"/>
      <c r="G76" s="473"/>
      <c r="H76" s="427">
        <f>GENERALITES!$D$15</f>
        <v>0</v>
      </c>
      <c r="I76" s="436"/>
      <c r="J76" s="430" t="s">
        <v>2</v>
      </c>
      <c r="K76" s="425"/>
      <c r="L76" s="470"/>
      <c r="M76" s="420"/>
      <c r="N76" s="514"/>
      <c r="O76" s="420"/>
      <c r="P76" s="515"/>
      <c r="Q76" s="420"/>
      <c r="R76" s="425"/>
      <c r="S76" s="516"/>
      <c r="T76" s="420"/>
      <c r="U76" s="515"/>
      <c r="V76" s="420"/>
      <c r="W76" s="425"/>
      <c r="X76" s="515"/>
      <c r="Y76" s="420"/>
      <c r="Z76" s="515"/>
      <c r="AA76" s="420"/>
      <c r="AB76" s="425"/>
      <c r="AC76" s="517"/>
      <c r="AD76" s="432"/>
      <c r="AE76" s="388"/>
      <c r="AF76" s="514"/>
      <c r="AG76" s="420"/>
      <c r="AH76" s="515"/>
      <c r="AI76" s="420"/>
      <c r="AJ76" s="425"/>
      <c r="AK76" s="516"/>
      <c r="AL76" s="420"/>
      <c r="AM76" s="515"/>
      <c r="AN76" s="420"/>
      <c r="AO76" s="425"/>
      <c r="AP76" s="515"/>
      <c r="AQ76" s="420"/>
      <c r="AR76" s="515"/>
      <c r="AS76" s="420"/>
      <c r="AT76" s="425"/>
      <c r="AU76" s="518"/>
      <c r="AV76" s="432"/>
      <c r="AW76" s="388"/>
      <c r="AX76" s="342"/>
      <c r="AY76" s="342"/>
      <c r="AZ76" s="342"/>
      <c r="BA76" s="342"/>
      <c r="BB76" s="342"/>
      <c r="BC76" s="342"/>
      <c r="BD76" s="342"/>
      <c r="BE76" s="342"/>
      <c r="BF76" s="342"/>
      <c r="BG76" s="342"/>
      <c r="BH76" s="342"/>
      <c r="BI76" s="342"/>
      <c r="BJ76" s="342"/>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c r="EA76" s="388"/>
      <c r="EB76" s="388"/>
      <c r="EC76" s="388"/>
      <c r="ED76" s="388"/>
      <c r="EE76" s="388"/>
      <c r="EF76" s="388"/>
    </row>
    <row r="77" spans="1:136"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8"/>
      <c r="W77" s="478"/>
      <c r="X77" s="478"/>
      <c r="Y77" s="478"/>
      <c r="Z77" s="478"/>
      <c r="AA77" s="478"/>
      <c r="AB77" s="478"/>
      <c r="AC77" s="478"/>
      <c r="AD77" s="479"/>
      <c r="AE77" s="440"/>
      <c r="AF77" s="444"/>
      <c r="AG77" s="445"/>
      <c r="AH77" s="445"/>
      <c r="AI77" s="445"/>
      <c r="AJ77" s="445"/>
      <c r="AK77" s="445"/>
      <c r="AL77" s="445"/>
      <c r="AM77" s="445"/>
      <c r="AN77" s="445"/>
      <c r="AO77" s="445"/>
      <c r="AP77" s="445"/>
      <c r="AQ77" s="445"/>
      <c r="AR77" s="445"/>
      <c r="AS77" s="445"/>
      <c r="AT77" s="445"/>
      <c r="AU77" s="445"/>
      <c r="AV77" s="446"/>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c r="DQ77" s="388"/>
      <c r="DR77" s="388"/>
      <c r="DS77" s="388"/>
      <c r="DT77" s="388"/>
      <c r="DU77" s="388"/>
      <c r="DV77" s="388"/>
      <c r="DW77" s="388"/>
      <c r="DX77" s="388"/>
      <c r="DY77" s="388"/>
      <c r="DZ77" s="388"/>
      <c r="EA77" s="388"/>
      <c r="EB77" s="388"/>
      <c r="EC77" s="388"/>
      <c r="ED77" s="388"/>
      <c r="EE77" s="388"/>
      <c r="EF77" s="388"/>
    </row>
    <row r="78" spans="1:136" ht="21.75" customHeight="1" thickBot="1" x14ac:dyDescent="0.3">
      <c r="A78" s="440"/>
      <c r="B78" s="508" t="s">
        <v>29</v>
      </c>
      <c r="C78" s="509"/>
      <c r="D78" s="509"/>
      <c r="E78" s="509"/>
      <c r="F78" s="509"/>
      <c r="G78" s="509"/>
      <c r="H78" s="510"/>
      <c r="I78" s="342"/>
      <c r="J78" s="342"/>
      <c r="K78" s="342"/>
      <c r="L78" s="342"/>
      <c r="M78" s="342"/>
      <c r="N78" s="342"/>
      <c r="O78" s="342"/>
      <c r="P78" s="342"/>
      <c r="Q78" s="342"/>
      <c r="R78" s="342"/>
      <c r="S78" s="342"/>
      <c r="T78" s="342"/>
      <c r="U78" s="342"/>
      <c r="V78" s="342"/>
      <c r="W78" s="342"/>
      <c r="X78" s="342"/>
      <c r="Y78" s="342"/>
      <c r="Z78" s="342"/>
      <c r="AA78" s="342"/>
      <c r="AB78" s="342"/>
      <c r="AC78" s="342"/>
      <c r="AD78" s="342"/>
      <c r="AE78" s="440"/>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row>
    <row r="79" spans="1:136" outlineLevel="1" x14ac:dyDescent="0.25">
      <c r="B79" s="412"/>
      <c r="C79" s="413"/>
      <c r="D79" s="413"/>
      <c r="E79" s="413"/>
      <c r="F79" s="413"/>
      <c r="G79" s="413"/>
      <c r="H79" s="413"/>
      <c r="I79" s="413"/>
      <c r="J79" s="413"/>
      <c r="K79" s="413"/>
      <c r="L79" s="414"/>
      <c r="N79" s="412"/>
      <c r="O79" s="413"/>
      <c r="P79" s="413"/>
      <c r="Q79" s="413"/>
      <c r="R79" s="413"/>
      <c r="S79" s="413"/>
      <c r="T79" s="413"/>
      <c r="U79" s="413"/>
      <c r="V79" s="413"/>
      <c r="W79" s="413"/>
      <c r="X79" s="413"/>
      <c r="Y79" s="413"/>
      <c r="Z79" s="413"/>
      <c r="AA79" s="413"/>
      <c r="AB79" s="413"/>
      <c r="AC79" s="413"/>
      <c r="AD79" s="414"/>
    </row>
    <row r="80" spans="1:136"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289"/>
      <c r="W80" s="289"/>
      <c r="X80" s="289"/>
      <c r="Y80" s="289"/>
      <c r="Z80" s="289"/>
      <c r="AA80" s="289"/>
      <c r="AB80" s="289"/>
      <c r="AC80" s="289"/>
      <c r="AD80" s="419"/>
      <c r="AE80" s="388"/>
      <c r="AF80" s="342"/>
      <c r="AG80" s="342"/>
      <c r="AH80" s="342"/>
      <c r="AI80" s="342"/>
      <c r="AJ80" s="342"/>
      <c r="AK80" s="342"/>
      <c r="AL80" s="342"/>
      <c r="AM80" s="342"/>
      <c r="AN80" s="342"/>
      <c r="AO80" s="342"/>
      <c r="AP80" s="342"/>
      <c r="AQ80" s="342"/>
      <c r="AR80" s="342"/>
      <c r="AS80" s="342"/>
      <c r="AT80" s="342"/>
      <c r="AU80" s="342"/>
      <c r="AV80" s="342"/>
      <c r="AX80" s="342"/>
      <c r="AY80" s="342"/>
      <c r="AZ80" s="342"/>
      <c r="BA80" s="342"/>
      <c r="BB80" s="342"/>
      <c r="BC80" s="342"/>
      <c r="BD80" s="342"/>
      <c r="BE80" s="342"/>
      <c r="BF80" s="342"/>
      <c r="BG80" s="342"/>
      <c r="BH80" s="342"/>
      <c r="BI80" s="342"/>
      <c r="BJ80" s="342"/>
    </row>
    <row r="81" spans="1:136" ht="43.5" customHeight="1" outlineLevel="1" x14ac:dyDescent="0.25">
      <c r="B81" s="464" t="s">
        <v>17</v>
      </c>
      <c r="C81" s="425"/>
      <c r="D81" s="425"/>
      <c r="E81" s="425"/>
      <c r="F81" s="425"/>
      <c r="G81" s="422" t="s">
        <v>179</v>
      </c>
      <c r="H81" s="270"/>
      <c r="I81" s="422" t="s">
        <v>180</v>
      </c>
      <c r="J81" s="447"/>
      <c r="K81" s="447"/>
      <c r="L81" s="401"/>
      <c r="M81" s="342"/>
      <c r="N81" s="269" t="s">
        <v>102</v>
      </c>
      <c r="O81" s="270"/>
      <c r="P81" s="422" t="s">
        <v>105</v>
      </c>
      <c r="Q81" s="270"/>
      <c r="R81" s="425"/>
      <c r="S81" s="422" t="s">
        <v>103</v>
      </c>
      <c r="T81" s="270"/>
      <c r="U81" s="422" t="s">
        <v>104</v>
      </c>
      <c r="V81" s="270"/>
      <c r="W81" s="425"/>
      <c r="X81" s="422" t="s">
        <v>196</v>
      </c>
      <c r="Y81" s="270"/>
      <c r="Z81" s="422" t="s">
        <v>197</v>
      </c>
      <c r="AA81" s="270"/>
      <c r="AB81" s="425"/>
      <c r="AC81" s="422" t="s">
        <v>198</v>
      </c>
      <c r="AD81" s="401"/>
      <c r="AE81" s="388"/>
      <c r="AF81" s="388"/>
      <c r="AG81" s="388"/>
      <c r="AH81" s="388"/>
      <c r="AI81" s="388"/>
      <c r="AJ81" s="388"/>
      <c r="AK81" s="388"/>
      <c r="AL81" s="388"/>
      <c r="AM81" s="388"/>
      <c r="AN81" s="388"/>
      <c r="AO81" s="388"/>
      <c r="AP81" s="388"/>
      <c r="AQ81" s="388"/>
      <c r="AR81" s="388"/>
      <c r="AS81" s="388"/>
      <c r="AT81" s="388"/>
      <c r="AU81" s="388"/>
      <c r="AV81" s="388"/>
      <c r="AX81" s="342"/>
      <c r="AY81" s="342"/>
      <c r="AZ81" s="342"/>
      <c r="BA81" s="342"/>
      <c r="BB81" s="342"/>
      <c r="BC81" s="342"/>
      <c r="BD81" s="342"/>
      <c r="BE81" s="342"/>
      <c r="BF81" s="342"/>
      <c r="BG81" s="342"/>
      <c r="BH81" s="342"/>
      <c r="BI81" s="342"/>
      <c r="BJ81" s="342"/>
    </row>
    <row r="82" spans="1:136" outlineLevel="1" x14ac:dyDescent="0.25">
      <c r="B82" s="435" t="s">
        <v>18</v>
      </c>
      <c r="C82" s="425"/>
      <c r="D82" s="425"/>
      <c r="E82" s="425"/>
      <c r="F82" s="425"/>
      <c r="G82" s="469">
        <v>900</v>
      </c>
      <c r="H82" s="427" t="str">
        <f>GENERALITES!$D$16</f>
        <v>L</v>
      </c>
      <c r="I82" s="485">
        <f>$N$10</f>
        <v>2.1313614615050023</v>
      </c>
      <c r="J82" s="449" t="s">
        <v>2</v>
      </c>
      <c r="K82" s="302">
        <f>IF(B82=Annexes!$B$3,G82*I82/100,SUMPRODUCT(G85:G88,I85:I88/100))</f>
        <v>19.18225315354502</v>
      </c>
      <c r="L82" s="428" t="str">
        <f>GENERALITES!$D$16</f>
        <v>L</v>
      </c>
      <c r="M82" s="342"/>
      <c r="N82" s="437">
        <f>GENERALITES!$D$49</f>
        <v>0.3</v>
      </c>
      <c r="O82" s="427" t="str">
        <f>GENERALITES!$E$49</f>
        <v>€ / L</v>
      </c>
      <c r="P82" s="302">
        <f>IF(B82=Annexes!$B$3,G82*N82,SUM(G85:G88)*N82)</f>
        <v>270</v>
      </c>
      <c r="Q82" s="427" t="s">
        <v>6</v>
      </c>
      <c r="R82" s="425"/>
      <c r="S82" s="302">
        <f>'ETAPE 1'!R82</f>
        <v>0</v>
      </c>
      <c r="T82" s="427" t="s">
        <v>72</v>
      </c>
      <c r="U82" s="448">
        <f>S82*$B$10</f>
        <v>0</v>
      </c>
      <c r="V82" s="427" t="s">
        <v>6</v>
      </c>
      <c r="W82" s="425"/>
      <c r="X82" s="302">
        <f>P82+U82</f>
        <v>270</v>
      </c>
      <c r="Y82" s="427" t="s">
        <v>6</v>
      </c>
      <c r="Z82" s="302">
        <f>IF($E$10&lt;&gt;0,X82/$E$10,0)</f>
        <v>11.744236624619401</v>
      </c>
      <c r="AA82" s="427" t="s">
        <v>72</v>
      </c>
      <c r="AB82" s="425"/>
      <c r="AC82" s="302">
        <f>$N$10/100*U82+IF(B82=Annexes!$B$3,I82/100*P82,IF(SUM(G85:G88)&gt;0,K82/SUM(G85:G88)*P82,0))</f>
        <v>5.7546759460635064</v>
      </c>
      <c r="AD82" s="428" t="s">
        <v>6</v>
      </c>
      <c r="AE82" s="388"/>
      <c r="AF82" s="388"/>
      <c r="AG82" s="388"/>
      <c r="AH82" s="388"/>
      <c r="AI82" s="388"/>
      <c r="AJ82" s="388"/>
      <c r="AK82" s="388"/>
      <c r="AL82" s="388"/>
      <c r="AM82" s="388"/>
      <c r="AN82" s="388"/>
      <c r="AO82" s="388"/>
      <c r="AP82" s="388"/>
      <c r="AQ82" s="388"/>
      <c r="AR82" s="388"/>
      <c r="AS82" s="388"/>
      <c r="AT82" s="388"/>
      <c r="AU82" s="388"/>
      <c r="AV82" s="388"/>
      <c r="AX82" s="342"/>
      <c r="AY82" s="342"/>
      <c r="AZ82" s="342"/>
      <c r="BA82" s="342"/>
      <c r="BB82" s="342"/>
      <c r="BC82" s="342"/>
      <c r="BD82" s="342"/>
      <c r="BE82" s="342"/>
      <c r="BF82" s="342"/>
      <c r="BG82" s="342"/>
      <c r="BH82" s="342"/>
      <c r="BI82" s="342"/>
      <c r="BJ82" s="342"/>
    </row>
    <row r="83" spans="1:136" outlineLevel="1" x14ac:dyDescent="0.25">
      <c r="B83" s="431"/>
      <c r="C83" s="425"/>
      <c r="D83" s="425"/>
      <c r="E83" s="425"/>
      <c r="F83" s="425"/>
      <c r="G83" s="420"/>
      <c r="H83" s="420"/>
      <c r="I83" s="420"/>
      <c r="J83" s="420"/>
      <c r="K83" s="420"/>
      <c r="L83" s="432"/>
      <c r="M83" s="342"/>
      <c r="N83" s="514"/>
      <c r="O83" s="420"/>
      <c r="P83" s="515"/>
      <c r="Q83" s="420"/>
      <c r="R83" s="425"/>
      <c r="S83" s="516"/>
      <c r="T83" s="420"/>
      <c r="U83" s="515"/>
      <c r="V83" s="420"/>
      <c r="W83" s="425"/>
      <c r="X83" s="515"/>
      <c r="Y83" s="420"/>
      <c r="Z83" s="515"/>
      <c r="AA83" s="420"/>
      <c r="AB83" s="425"/>
      <c r="AC83" s="517"/>
      <c r="AD83" s="432"/>
      <c r="AE83" s="388"/>
      <c r="AF83" s="388"/>
      <c r="AG83" s="388"/>
      <c r="AH83" s="388"/>
      <c r="AI83" s="388"/>
      <c r="AJ83" s="388"/>
      <c r="AK83" s="388"/>
      <c r="AL83" s="388"/>
      <c r="AM83" s="388"/>
      <c r="AN83" s="388"/>
      <c r="AO83" s="388"/>
      <c r="AP83" s="388"/>
      <c r="AQ83" s="388"/>
      <c r="AR83" s="388"/>
      <c r="AS83" s="388"/>
      <c r="AT83" s="388"/>
      <c r="AU83" s="388"/>
      <c r="AV83" s="388"/>
      <c r="AX83" s="342"/>
      <c r="AY83" s="342"/>
      <c r="AZ83" s="342"/>
      <c r="BA83" s="342"/>
      <c r="BB83" s="342"/>
      <c r="BC83" s="342"/>
      <c r="BD83" s="342"/>
      <c r="BE83" s="342"/>
      <c r="BF83" s="342"/>
      <c r="BG83" s="342"/>
      <c r="BH83" s="342"/>
      <c r="BI83" s="342"/>
      <c r="BJ83" s="342"/>
    </row>
    <row r="84" spans="1:136" outlineLevel="1" x14ac:dyDescent="0.25">
      <c r="B84" s="464" t="s">
        <v>7</v>
      </c>
      <c r="C84" s="425"/>
      <c r="D84" s="425"/>
      <c r="E84" s="425"/>
      <c r="F84" s="425"/>
      <c r="G84" s="519"/>
      <c r="H84" s="519"/>
      <c r="I84" s="434"/>
      <c r="J84" s="434"/>
      <c r="K84" s="425"/>
      <c r="L84" s="470"/>
      <c r="M84" s="342"/>
      <c r="N84" s="514"/>
      <c r="O84" s="420"/>
      <c r="P84" s="515"/>
      <c r="Q84" s="420"/>
      <c r="R84" s="425"/>
      <c r="S84" s="516"/>
      <c r="T84" s="420"/>
      <c r="U84" s="515"/>
      <c r="V84" s="420"/>
      <c r="W84" s="425"/>
      <c r="X84" s="515"/>
      <c r="Y84" s="420"/>
      <c r="Z84" s="515"/>
      <c r="AA84" s="420"/>
      <c r="AB84" s="425"/>
      <c r="AC84" s="517"/>
      <c r="AD84" s="432"/>
      <c r="AE84" s="388"/>
      <c r="AF84" s="388"/>
      <c r="AG84" s="388"/>
      <c r="AH84" s="388"/>
      <c r="AI84" s="388"/>
      <c r="AJ84" s="388"/>
      <c r="AK84" s="388"/>
      <c r="AL84" s="388"/>
      <c r="AM84" s="388"/>
      <c r="AN84" s="388"/>
      <c r="AO84" s="388"/>
      <c r="AP84" s="388"/>
      <c r="AQ84" s="388"/>
      <c r="AR84" s="388"/>
      <c r="AS84" s="388"/>
      <c r="AT84" s="388"/>
      <c r="AU84" s="388"/>
      <c r="AV84" s="388"/>
      <c r="AX84" s="342"/>
      <c r="AY84" s="342"/>
      <c r="AZ84" s="342"/>
      <c r="BA84" s="342"/>
      <c r="BB84" s="342"/>
      <c r="BC84" s="342"/>
      <c r="BD84" s="342"/>
      <c r="BE84" s="342"/>
      <c r="BF84" s="342"/>
      <c r="BG84" s="342"/>
      <c r="BH84" s="342"/>
      <c r="BI84" s="342"/>
      <c r="BJ84" s="342"/>
    </row>
    <row r="85" spans="1:136" outlineLevel="1" x14ac:dyDescent="0.25">
      <c r="B85" s="472"/>
      <c r="C85" s="425"/>
      <c r="D85" s="425"/>
      <c r="E85" s="425"/>
      <c r="F85" s="425"/>
      <c r="G85" s="473"/>
      <c r="H85" s="474" t="str">
        <f>GENERALITES!$D$16</f>
        <v>L</v>
      </c>
      <c r="I85" s="436"/>
      <c r="J85" s="430" t="s">
        <v>2</v>
      </c>
      <c r="K85" s="425"/>
      <c r="L85" s="470"/>
      <c r="M85" s="342"/>
      <c r="N85" s="514"/>
      <c r="O85" s="420"/>
      <c r="P85" s="515"/>
      <c r="Q85" s="420"/>
      <c r="R85" s="425"/>
      <c r="S85" s="516"/>
      <c r="T85" s="420"/>
      <c r="U85" s="515"/>
      <c r="V85" s="420"/>
      <c r="W85" s="425"/>
      <c r="X85" s="515"/>
      <c r="Y85" s="420"/>
      <c r="Z85" s="515"/>
      <c r="AA85" s="420"/>
      <c r="AB85" s="425"/>
      <c r="AC85" s="517"/>
      <c r="AD85" s="432"/>
      <c r="AE85" s="388"/>
      <c r="AF85" s="388"/>
      <c r="AG85" s="388"/>
      <c r="AH85" s="388"/>
      <c r="AI85" s="388"/>
      <c r="AJ85" s="388"/>
      <c r="AK85" s="388"/>
      <c r="AL85" s="388"/>
      <c r="AM85" s="388"/>
      <c r="AN85" s="388"/>
      <c r="AO85" s="388"/>
      <c r="AP85" s="388"/>
      <c r="AQ85" s="388"/>
      <c r="AR85" s="388"/>
      <c r="AS85" s="388"/>
      <c r="AT85" s="388"/>
      <c r="AU85" s="388"/>
      <c r="AV85" s="388"/>
      <c r="AX85" s="342"/>
      <c r="AY85" s="342"/>
      <c r="AZ85" s="342"/>
      <c r="BA85" s="342"/>
      <c r="BB85" s="342"/>
      <c r="BC85" s="342"/>
      <c r="BD85" s="342"/>
      <c r="BE85" s="342"/>
      <c r="BF85" s="342"/>
      <c r="BG85" s="342"/>
      <c r="BH85" s="342"/>
      <c r="BI85" s="342"/>
      <c r="BJ85" s="342"/>
    </row>
    <row r="86" spans="1:136" outlineLevel="1" x14ac:dyDescent="0.25">
      <c r="B86" s="472"/>
      <c r="C86" s="425"/>
      <c r="D86" s="425"/>
      <c r="E86" s="425"/>
      <c r="F86" s="425"/>
      <c r="G86" s="473"/>
      <c r="H86" s="474" t="str">
        <f>GENERALITES!$D$16</f>
        <v>L</v>
      </c>
      <c r="I86" s="436"/>
      <c r="J86" s="430" t="s">
        <v>2</v>
      </c>
      <c r="K86" s="425"/>
      <c r="L86" s="470"/>
      <c r="M86" s="342"/>
      <c r="N86" s="514"/>
      <c r="O86" s="420"/>
      <c r="P86" s="515"/>
      <c r="Q86" s="420"/>
      <c r="R86" s="425"/>
      <c r="S86" s="516"/>
      <c r="T86" s="420"/>
      <c r="U86" s="515"/>
      <c r="V86" s="420"/>
      <c r="W86" s="425"/>
      <c r="X86" s="515"/>
      <c r="Y86" s="420"/>
      <c r="Z86" s="515"/>
      <c r="AA86" s="420"/>
      <c r="AB86" s="425"/>
      <c r="AC86" s="517"/>
      <c r="AD86" s="432"/>
      <c r="AE86" s="388"/>
      <c r="AF86" s="388"/>
      <c r="AG86" s="388"/>
      <c r="AH86" s="388"/>
      <c r="AI86" s="388"/>
      <c r="AJ86" s="388"/>
      <c r="AK86" s="388"/>
      <c r="AL86" s="388"/>
      <c r="AM86" s="388"/>
      <c r="AN86" s="388"/>
      <c r="AO86" s="388"/>
      <c r="AP86" s="388"/>
      <c r="AQ86" s="388"/>
      <c r="AR86" s="388"/>
      <c r="AS86" s="388"/>
      <c r="AT86" s="388"/>
      <c r="AU86" s="388"/>
      <c r="AV86" s="388"/>
      <c r="AX86" s="342"/>
      <c r="AY86" s="342"/>
      <c r="AZ86" s="342"/>
      <c r="BA86" s="342"/>
      <c r="BB86" s="342"/>
      <c r="BC86" s="342"/>
      <c r="BD86" s="342"/>
      <c r="BE86" s="342"/>
      <c r="BF86" s="342"/>
      <c r="BG86" s="342"/>
      <c r="BH86" s="342"/>
      <c r="BI86" s="342"/>
      <c r="BJ86" s="342"/>
    </row>
    <row r="87" spans="1:136" outlineLevel="1" x14ac:dyDescent="0.25">
      <c r="B87" s="472"/>
      <c r="C87" s="425"/>
      <c r="D87" s="425"/>
      <c r="E87" s="425"/>
      <c r="F87" s="425"/>
      <c r="G87" s="473"/>
      <c r="H87" s="474" t="str">
        <f>GENERALITES!$D$16</f>
        <v>L</v>
      </c>
      <c r="I87" s="436"/>
      <c r="J87" s="430" t="s">
        <v>2</v>
      </c>
      <c r="K87" s="425"/>
      <c r="L87" s="470"/>
      <c r="M87" s="342"/>
      <c r="N87" s="514"/>
      <c r="O87" s="420"/>
      <c r="P87" s="515"/>
      <c r="Q87" s="420"/>
      <c r="R87" s="425"/>
      <c r="S87" s="516"/>
      <c r="T87" s="420"/>
      <c r="U87" s="515"/>
      <c r="V87" s="420"/>
      <c r="W87" s="425"/>
      <c r="X87" s="515"/>
      <c r="Y87" s="420"/>
      <c r="Z87" s="515"/>
      <c r="AA87" s="420"/>
      <c r="AB87" s="425"/>
      <c r="AC87" s="517"/>
      <c r="AD87" s="432"/>
      <c r="AE87" s="388"/>
      <c r="AF87" s="388"/>
      <c r="AG87" s="388"/>
      <c r="AH87" s="388"/>
      <c r="AI87" s="388"/>
      <c r="AJ87" s="388"/>
      <c r="AK87" s="388"/>
      <c r="AL87" s="388"/>
      <c r="AM87" s="388"/>
      <c r="AN87" s="388"/>
      <c r="AO87" s="388"/>
      <c r="AP87" s="388"/>
      <c r="AQ87" s="388"/>
      <c r="AR87" s="388"/>
      <c r="AS87" s="388"/>
      <c r="AT87" s="388"/>
      <c r="AU87" s="388"/>
      <c r="AV87" s="388"/>
      <c r="AX87" s="342"/>
      <c r="AY87" s="342"/>
      <c r="AZ87" s="342"/>
      <c r="BA87" s="342"/>
      <c r="BB87" s="342"/>
      <c r="BC87" s="342"/>
      <c r="BD87" s="342"/>
      <c r="BE87" s="342"/>
      <c r="BF87" s="342"/>
      <c r="BG87" s="342"/>
      <c r="BH87" s="342"/>
      <c r="BI87" s="342"/>
      <c r="BJ87" s="342"/>
    </row>
    <row r="88" spans="1:136" outlineLevel="1" x14ac:dyDescent="0.25">
      <c r="B88" s="472"/>
      <c r="C88" s="425"/>
      <c r="D88" s="425"/>
      <c r="E88" s="425"/>
      <c r="F88" s="425"/>
      <c r="G88" s="473"/>
      <c r="H88" s="474" t="str">
        <f>GENERALITES!$D$16</f>
        <v>L</v>
      </c>
      <c r="I88" s="436"/>
      <c r="J88" s="430" t="s">
        <v>2</v>
      </c>
      <c r="K88" s="425"/>
      <c r="L88" s="470"/>
      <c r="M88" s="342"/>
      <c r="N88" s="514"/>
      <c r="O88" s="420"/>
      <c r="P88" s="515"/>
      <c r="Q88" s="420"/>
      <c r="R88" s="425"/>
      <c r="S88" s="516"/>
      <c r="T88" s="420"/>
      <c r="U88" s="515"/>
      <c r="V88" s="420"/>
      <c r="W88" s="425"/>
      <c r="X88" s="515"/>
      <c r="Y88" s="420"/>
      <c r="Z88" s="515"/>
      <c r="AA88" s="420"/>
      <c r="AB88" s="425"/>
      <c r="AC88" s="517"/>
      <c r="AD88" s="432"/>
      <c r="AE88" s="388"/>
      <c r="AF88" s="388"/>
      <c r="AG88" s="388"/>
      <c r="AH88" s="388"/>
      <c r="AI88" s="388"/>
      <c r="AJ88" s="388"/>
      <c r="AK88" s="388"/>
      <c r="AL88" s="388"/>
      <c r="AM88" s="388"/>
      <c r="AN88" s="388"/>
      <c r="AO88" s="388"/>
      <c r="AP88" s="388"/>
      <c r="AQ88" s="388"/>
      <c r="AR88" s="388"/>
      <c r="AS88" s="388"/>
      <c r="AT88" s="388"/>
      <c r="AU88" s="388"/>
      <c r="AV88" s="388"/>
      <c r="AX88" s="342"/>
      <c r="AY88" s="342"/>
      <c r="AZ88" s="342"/>
      <c r="BA88" s="342"/>
      <c r="BB88" s="342"/>
      <c r="BC88" s="342"/>
      <c r="BD88" s="342"/>
      <c r="BE88" s="342"/>
      <c r="BF88" s="342"/>
      <c r="BG88" s="342"/>
      <c r="BH88" s="342"/>
      <c r="BI88" s="342"/>
      <c r="BJ88" s="342"/>
    </row>
    <row r="89" spans="1:136" ht="15.75" thickBot="1" x14ac:dyDescent="0.3">
      <c r="A89" s="440"/>
      <c r="B89" s="477"/>
      <c r="C89" s="478"/>
      <c r="D89" s="478"/>
      <c r="E89" s="478"/>
      <c r="F89" s="478"/>
      <c r="G89" s="478"/>
      <c r="H89" s="478"/>
      <c r="I89" s="478"/>
      <c r="J89" s="478"/>
      <c r="K89" s="478"/>
      <c r="L89" s="479"/>
      <c r="M89" s="440"/>
      <c r="N89" s="477"/>
      <c r="O89" s="478"/>
      <c r="P89" s="478"/>
      <c r="Q89" s="478"/>
      <c r="R89" s="478"/>
      <c r="S89" s="478"/>
      <c r="T89" s="478"/>
      <c r="U89" s="478"/>
      <c r="V89" s="478"/>
      <c r="W89" s="478"/>
      <c r="X89" s="478"/>
      <c r="Y89" s="478"/>
      <c r="Z89" s="478"/>
      <c r="AA89" s="478"/>
      <c r="AB89" s="478"/>
      <c r="AC89" s="478"/>
      <c r="AD89" s="479"/>
      <c r="AE89" s="440"/>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c r="DQ89" s="388"/>
      <c r="DR89" s="388"/>
      <c r="DS89" s="388"/>
      <c r="DT89" s="388"/>
      <c r="DU89" s="388"/>
      <c r="DV89" s="388"/>
      <c r="DW89" s="388"/>
      <c r="DX89" s="388"/>
      <c r="DY89" s="388"/>
      <c r="DZ89" s="388"/>
      <c r="EA89" s="388"/>
      <c r="EB89" s="388"/>
      <c r="EC89" s="388"/>
      <c r="ED89" s="388"/>
      <c r="EE89" s="388"/>
      <c r="EF89" s="388"/>
    </row>
    <row r="90" spans="1:136" ht="30" customHeight="1" thickBot="1" x14ac:dyDescent="0.3">
      <c r="A90" s="388"/>
      <c r="B90" s="499" t="s">
        <v>65</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1"/>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row>
    <row r="91" spans="1:136" outlineLevel="1" x14ac:dyDescent="0.25">
      <c r="B91" s="412"/>
      <c r="C91" s="413"/>
      <c r="D91" s="413"/>
      <c r="E91" s="413"/>
      <c r="F91" s="413"/>
      <c r="G91" s="413"/>
      <c r="H91" s="413"/>
      <c r="I91" s="413"/>
      <c r="J91" s="413"/>
      <c r="K91" s="413"/>
      <c r="L91" s="414"/>
      <c r="N91" s="412"/>
      <c r="O91" s="413"/>
      <c r="P91" s="413"/>
      <c r="Q91" s="413"/>
      <c r="R91" s="413"/>
      <c r="S91" s="413"/>
      <c r="T91" s="413"/>
      <c r="U91" s="413"/>
      <c r="V91" s="413"/>
      <c r="W91" s="413"/>
      <c r="X91" s="413"/>
      <c r="Y91" s="413"/>
      <c r="Z91" s="413"/>
      <c r="AA91" s="413"/>
      <c r="AB91" s="413"/>
      <c r="AC91" s="413"/>
      <c r="AD91" s="414"/>
    </row>
    <row r="92" spans="1:136"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289"/>
      <c r="W92" s="289"/>
      <c r="X92" s="289"/>
      <c r="Y92" s="289"/>
      <c r="Z92" s="289"/>
      <c r="AA92" s="289"/>
      <c r="AB92" s="289"/>
      <c r="AC92" s="289"/>
      <c r="AD92" s="419"/>
      <c r="AE92" s="388"/>
      <c r="AF92" s="342"/>
      <c r="AG92" s="342"/>
      <c r="AH92" s="342"/>
      <c r="AI92" s="342"/>
      <c r="AJ92" s="342"/>
      <c r="AK92" s="342"/>
      <c r="AL92" s="342"/>
      <c r="AM92" s="342"/>
      <c r="AN92" s="342"/>
      <c r="AO92" s="342"/>
      <c r="AP92" s="342"/>
      <c r="AQ92" s="342"/>
      <c r="AR92" s="342"/>
      <c r="AS92" s="342"/>
      <c r="AT92" s="342"/>
      <c r="AU92" s="342"/>
      <c r="AV92" s="342"/>
      <c r="AX92" s="342"/>
      <c r="AY92" s="342"/>
      <c r="AZ92" s="342"/>
      <c r="BA92" s="342"/>
      <c r="BB92" s="342"/>
      <c r="BC92" s="342"/>
    </row>
    <row r="93" spans="1:136" ht="43.5" customHeight="1" outlineLevel="1" x14ac:dyDescent="0.25">
      <c r="B93" s="486" t="s">
        <v>17</v>
      </c>
      <c r="C93" s="425"/>
      <c r="D93" s="425"/>
      <c r="E93" s="425"/>
      <c r="F93" s="425"/>
      <c r="G93" s="422" t="s">
        <v>181</v>
      </c>
      <c r="H93" s="270"/>
      <c r="I93" s="422" t="s">
        <v>182</v>
      </c>
      <c r="J93" s="447"/>
      <c r="K93" s="447"/>
      <c r="L93" s="401"/>
      <c r="M93" s="342"/>
      <c r="N93" s="269" t="s">
        <v>39</v>
      </c>
      <c r="O93" s="270"/>
      <c r="P93" s="422" t="s">
        <v>108</v>
      </c>
      <c r="Q93" s="270"/>
      <c r="R93" s="425"/>
      <c r="S93" s="422" t="s">
        <v>106</v>
      </c>
      <c r="T93" s="270"/>
      <c r="U93" s="422" t="s">
        <v>107</v>
      </c>
      <c r="V93" s="270"/>
      <c r="W93" s="425"/>
      <c r="X93" s="422" t="s">
        <v>199</v>
      </c>
      <c r="Y93" s="270"/>
      <c r="Z93" s="422" t="s">
        <v>200</v>
      </c>
      <c r="AA93" s="270"/>
      <c r="AB93" s="425"/>
      <c r="AC93" s="422" t="s">
        <v>201</v>
      </c>
      <c r="AD93" s="401"/>
      <c r="AE93" s="388"/>
      <c r="AF93" s="388"/>
      <c r="AG93" s="388"/>
      <c r="AH93" s="388"/>
      <c r="AI93" s="388"/>
      <c r="AJ93" s="388"/>
      <c r="AK93" s="388"/>
      <c r="AL93" s="388"/>
      <c r="AM93" s="388"/>
      <c r="AN93" s="388"/>
      <c r="AO93" s="388"/>
      <c r="AP93" s="388"/>
      <c r="AQ93" s="388"/>
      <c r="AR93" s="388"/>
      <c r="AS93" s="388"/>
      <c r="AT93" s="388"/>
      <c r="AU93" s="388"/>
      <c r="AV93" s="388"/>
      <c r="AX93" s="342"/>
      <c r="AY93" s="342"/>
      <c r="AZ93" s="342"/>
      <c r="BA93" s="342"/>
      <c r="BB93" s="342"/>
      <c r="BC93" s="342"/>
    </row>
    <row r="94" spans="1:136" outlineLevel="1" x14ac:dyDescent="0.25">
      <c r="B94" s="435" t="s">
        <v>18</v>
      </c>
      <c r="C94" s="425"/>
      <c r="D94" s="425"/>
      <c r="E94" s="425"/>
      <c r="F94" s="425"/>
      <c r="G94" s="469">
        <v>0.1</v>
      </c>
      <c r="H94" s="427" t="s">
        <v>3</v>
      </c>
      <c r="I94" s="485">
        <f>$N$10</f>
        <v>2.1313614615050023</v>
      </c>
      <c r="J94" s="449" t="s">
        <v>2</v>
      </c>
      <c r="K94" s="302">
        <f>IF(B94=Annexes!$B$3,G94*I94/100,SUMPRODUCT(G97:G100,I97:I100/100))</f>
        <v>2.1313614615050026E-3</v>
      </c>
      <c r="L94" s="428" t="s">
        <v>3</v>
      </c>
      <c r="M94" s="342"/>
      <c r="N94" s="437">
        <f>GENERALITES!$G$53</f>
        <v>47500</v>
      </c>
      <c r="O94" s="427" t="s">
        <v>11</v>
      </c>
      <c r="P94" s="302">
        <f>IF(B94=Annexes!$B$3,G94*N94,SUM(G97:G100)*N94)</f>
        <v>4750</v>
      </c>
      <c r="Q94" s="427" t="s">
        <v>6</v>
      </c>
      <c r="R94" s="425"/>
      <c r="S94" s="302">
        <f>'ETAPE 1'!R94</f>
        <v>400.50590219224279</v>
      </c>
      <c r="T94" s="427" t="s">
        <v>72</v>
      </c>
      <c r="U94" s="448">
        <f>S94*$B$10</f>
        <v>9207.6306913996614</v>
      </c>
      <c r="V94" s="427" t="s">
        <v>6</v>
      </c>
      <c r="W94" s="425"/>
      <c r="X94" s="302">
        <f>P94+U94</f>
        <v>13957.630691399661</v>
      </c>
      <c r="Y94" s="427" t="s">
        <v>6</v>
      </c>
      <c r="Z94" s="302">
        <f>IF($E$10&lt;&gt;0,X94/$E$10,0)</f>
        <v>607.1174724401767</v>
      </c>
      <c r="AA94" s="427" t="s">
        <v>72</v>
      </c>
      <c r="AB94" s="425"/>
      <c r="AC94" s="302">
        <f>$N$10/100*U94+IF(B94=Annexes!$B$3,I94/100*P94,IF(SUM(G97:G100)&gt;0,K94/SUM(G97:G100)*P94,0))</f>
        <v>297.48756149568658</v>
      </c>
      <c r="AD94" s="428" t="s">
        <v>6</v>
      </c>
      <c r="AE94" s="388"/>
      <c r="AF94" s="388"/>
      <c r="AG94" s="388"/>
      <c r="AH94" s="388"/>
      <c r="AI94" s="388"/>
      <c r="AJ94" s="388"/>
      <c r="AK94" s="388"/>
      <c r="AL94" s="388"/>
      <c r="AM94" s="388"/>
      <c r="AN94" s="388"/>
      <c r="AO94" s="388"/>
      <c r="AP94" s="388"/>
      <c r="AQ94" s="388"/>
      <c r="AR94" s="388"/>
      <c r="AS94" s="388"/>
      <c r="AT94" s="388"/>
      <c r="AU94" s="388"/>
      <c r="AV94" s="388"/>
      <c r="AX94" s="342"/>
      <c r="AY94" s="342"/>
      <c r="AZ94" s="342"/>
      <c r="BA94" s="342"/>
      <c r="BB94" s="342"/>
      <c r="BC94" s="342"/>
    </row>
    <row r="95" spans="1:136"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20"/>
      <c r="W95" s="420"/>
      <c r="X95" s="420"/>
      <c r="Y95" s="420"/>
      <c r="Z95" s="420"/>
      <c r="AA95" s="420"/>
      <c r="AB95" s="420"/>
      <c r="AC95" s="420"/>
      <c r="AD95" s="432"/>
      <c r="AE95" s="388"/>
      <c r="AF95" s="388"/>
      <c r="AG95" s="388"/>
      <c r="AH95" s="388"/>
      <c r="AI95" s="388"/>
      <c r="AJ95" s="388"/>
      <c r="AK95" s="388"/>
      <c r="AL95" s="388"/>
      <c r="AM95" s="388"/>
      <c r="AN95" s="388"/>
      <c r="AO95" s="388"/>
      <c r="AP95" s="388"/>
      <c r="AQ95" s="388"/>
      <c r="AR95" s="388"/>
      <c r="AS95" s="388"/>
      <c r="AT95" s="388"/>
      <c r="AU95" s="388"/>
      <c r="AV95" s="388"/>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c r="DQ95" s="342"/>
      <c r="DR95" s="342"/>
      <c r="DS95" s="342"/>
      <c r="DT95" s="342"/>
      <c r="DU95" s="342"/>
      <c r="DV95" s="342"/>
      <c r="DW95" s="342"/>
      <c r="DX95" s="342"/>
      <c r="DY95" s="342"/>
      <c r="DZ95" s="342"/>
      <c r="EA95" s="342"/>
      <c r="EB95" s="342"/>
      <c r="EC95" s="342"/>
      <c r="ED95" s="342"/>
      <c r="EE95" s="342"/>
      <c r="EF95" s="342"/>
    </row>
    <row r="96" spans="1:136"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20"/>
      <c r="W96" s="420"/>
      <c r="X96" s="420"/>
      <c r="Y96" s="420"/>
      <c r="Z96" s="420"/>
      <c r="AA96" s="420"/>
      <c r="AB96" s="420"/>
      <c r="AC96" s="420"/>
      <c r="AD96" s="432"/>
      <c r="AE96" s="388"/>
      <c r="AF96" s="388"/>
      <c r="AG96" s="388"/>
      <c r="AH96" s="388"/>
      <c r="AI96" s="388"/>
      <c r="AJ96" s="388"/>
      <c r="AK96" s="388"/>
      <c r="AL96" s="388"/>
      <c r="AM96" s="388"/>
      <c r="AN96" s="388"/>
      <c r="AO96" s="388"/>
      <c r="AP96" s="388"/>
      <c r="AQ96" s="388"/>
      <c r="AR96" s="388"/>
      <c r="AS96" s="388"/>
      <c r="AT96" s="388"/>
      <c r="AU96" s="388"/>
      <c r="AV96" s="388"/>
    </row>
    <row r="97" spans="1:136"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t="s">
        <v>40</v>
      </c>
      <c r="V97" s="420"/>
      <c r="W97" s="420"/>
      <c r="X97" s="420"/>
      <c r="Y97" s="420"/>
      <c r="Z97" s="420"/>
      <c r="AA97" s="420"/>
      <c r="AB97" s="420"/>
      <c r="AC97" s="420"/>
      <c r="AD97" s="432"/>
      <c r="AE97" s="388"/>
      <c r="AF97" s="388"/>
      <c r="AG97" s="388"/>
      <c r="AH97" s="388"/>
      <c r="AI97" s="388"/>
      <c r="AJ97" s="388"/>
      <c r="AK97" s="388"/>
      <c r="AL97" s="388"/>
      <c r="AM97" s="388"/>
      <c r="AN97" s="388"/>
      <c r="AO97" s="388"/>
      <c r="AP97" s="388"/>
      <c r="AQ97" s="388"/>
      <c r="AR97" s="388"/>
      <c r="AS97" s="388"/>
      <c r="AT97" s="388"/>
      <c r="AU97" s="388"/>
      <c r="AV97" s="388"/>
    </row>
    <row r="98" spans="1:136"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20"/>
      <c r="W98" s="420"/>
      <c r="X98" s="420"/>
      <c r="Y98" s="420"/>
      <c r="Z98" s="420"/>
      <c r="AA98" s="420"/>
      <c r="AB98" s="420"/>
      <c r="AC98" s="420"/>
      <c r="AD98" s="432"/>
      <c r="AE98" s="388"/>
      <c r="AF98" s="388"/>
      <c r="AG98" s="388"/>
      <c r="AH98" s="388"/>
      <c r="AI98" s="388"/>
      <c r="AJ98" s="388"/>
      <c r="AK98" s="388"/>
      <c r="AL98" s="388"/>
      <c r="AM98" s="388"/>
      <c r="AN98" s="388"/>
      <c r="AO98" s="388"/>
      <c r="AP98" s="388"/>
      <c r="AQ98" s="388"/>
      <c r="AR98" s="388"/>
      <c r="AS98" s="388"/>
      <c r="AT98" s="388"/>
      <c r="AU98" s="388"/>
      <c r="AV98" s="388"/>
    </row>
    <row r="99" spans="1:136"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20"/>
      <c r="W99" s="420"/>
      <c r="X99" s="420"/>
      <c r="Y99" s="420"/>
      <c r="Z99" s="420"/>
      <c r="AA99" s="420"/>
      <c r="AB99" s="420"/>
      <c r="AC99" s="420"/>
      <c r="AD99" s="432"/>
      <c r="AE99" s="388"/>
      <c r="AF99" s="388"/>
      <c r="AG99" s="388"/>
      <c r="AH99" s="388"/>
      <c r="AI99" s="388"/>
      <c r="AJ99" s="388"/>
      <c r="AK99" s="388"/>
      <c r="AL99" s="388"/>
      <c r="AM99" s="388"/>
      <c r="AN99" s="388"/>
      <c r="AO99" s="388"/>
      <c r="AP99" s="388"/>
      <c r="AQ99" s="388"/>
      <c r="AR99" s="388"/>
      <c r="AS99" s="388"/>
      <c r="AT99" s="388"/>
      <c r="AU99" s="388"/>
      <c r="AV99" s="388"/>
    </row>
    <row r="100" spans="1:136"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20"/>
      <c r="W100" s="420"/>
      <c r="X100" s="420"/>
      <c r="Y100" s="420"/>
      <c r="Z100" s="420"/>
      <c r="AA100" s="420"/>
      <c r="AB100" s="420"/>
      <c r="AC100" s="420"/>
      <c r="AD100" s="432"/>
      <c r="AE100" s="388"/>
      <c r="AF100" s="388"/>
      <c r="AG100" s="388"/>
      <c r="AH100" s="388"/>
      <c r="AI100" s="388"/>
      <c r="AJ100" s="388"/>
      <c r="AK100" s="388"/>
      <c r="AL100" s="388"/>
      <c r="AM100" s="388"/>
      <c r="AN100" s="388"/>
      <c r="AO100" s="388"/>
      <c r="AP100" s="388"/>
      <c r="AQ100" s="388"/>
      <c r="AR100" s="388"/>
      <c r="AS100" s="388"/>
      <c r="AT100" s="388"/>
      <c r="AU100" s="388"/>
      <c r="AV100" s="388"/>
    </row>
    <row r="101" spans="1:136" ht="15.75" thickBot="1" x14ac:dyDescent="0.3">
      <c r="B101" s="521"/>
      <c r="C101" s="522"/>
      <c r="D101" s="522"/>
      <c r="E101" s="522"/>
      <c r="F101" s="522"/>
      <c r="G101" s="522"/>
      <c r="H101" s="522"/>
      <c r="I101" s="522"/>
      <c r="J101" s="522"/>
      <c r="K101" s="522"/>
      <c r="L101" s="523"/>
      <c r="N101" s="521"/>
      <c r="O101" s="522"/>
      <c r="P101" s="522"/>
      <c r="Q101" s="522"/>
      <c r="R101" s="522"/>
      <c r="S101" s="522"/>
      <c r="T101" s="522"/>
      <c r="U101" s="522"/>
      <c r="V101" s="522"/>
      <c r="W101" s="522"/>
      <c r="X101" s="522"/>
      <c r="Y101" s="522"/>
      <c r="Z101" s="522"/>
      <c r="AA101" s="522"/>
      <c r="AB101" s="522"/>
      <c r="AC101" s="522"/>
      <c r="AD101" s="523"/>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c r="DQ101" s="388"/>
      <c r="DR101" s="388"/>
      <c r="DS101" s="388"/>
      <c r="DT101" s="388"/>
      <c r="DU101" s="388"/>
      <c r="DV101" s="388"/>
      <c r="DW101" s="388"/>
      <c r="DX101" s="388"/>
      <c r="DY101" s="388"/>
      <c r="DZ101" s="388"/>
      <c r="EA101" s="388"/>
      <c r="EB101" s="388"/>
      <c r="EC101" s="388"/>
      <c r="ED101" s="388"/>
      <c r="EE101" s="388"/>
      <c r="EF101" s="388"/>
    </row>
    <row r="102" spans="1:136" ht="30" customHeight="1" thickBot="1" x14ac:dyDescent="0.3">
      <c r="A102" s="388"/>
      <c r="B102" s="499" t="s">
        <v>512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1"/>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2"/>
      <c r="BY102" s="342"/>
      <c r="BZ102" s="342"/>
      <c r="CA102" s="342"/>
      <c r="CB102" s="342"/>
      <c r="CC102" s="342"/>
      <c r="CD102" s="342"/>
      <c r="CE102" s="342"/>
      <c r="CF102" s="342"/>
      <c r="CG102" s="342"/>
      <c r="CH102" s="342"/>
      <c r="CI102" s="342"/>
      <c r="CJ102" s="342"/>
      <c r="CK102" s="342"/>
      <c r="CL102" s="342"/>
      <c r="CM102" s="342"/>
      <c r="CN102" s="342"/>
      <c r="CO102" s="342"/>
      <c r="CP102" s="342"/>
      <c r="CQ102" s="342"/>
      <c r="CR102" s="342"/>
      <c r="CS102" s="342"/>
      <c r="CT102" s="342"/>
      <c r="CU102" s="342"/>
      <c r="CV102" s="342"/>
      <c r="CW102" s="342"/>
      <c r="CX102" s="342"/>
      <c r="CY102" s="342"/>
      <c r="CZ102" s="342"/>
      <c r="DA102" s="342"/>
      <c r="DB102" s="342"/>
      <c r="DC102" s="342"/>
      <c r="DD102" s="342"/>
      <c r="DE102" s="342"/>
      <c r="DF102" s="342"/>
      <c r="DG102" s="342"/>
      <c r="DH102" s="342"/>
      <c r="DI102" s="342"/>
      <c r="DJ102" s="342"/>
      <c r="DK102" s="342"/>
      <c r="DL102" s="342"/>
      <c r="DM102" s="342"/>
      <c r="DN102" s="342"/>
      <c r="DO102" s="342"/>
      <c r="DP102" s="342"/>
      <c r="DQ102" s="342"/>
      <c r="DR102" s="342"/>
      <c r="DS102" s="342"/>
      <c r="DT102" s="342"/>
      <c r="DU102" s="342"/>
      <c r="DV102" s="342"/>
      <c r="DW102" s="342"/>
      <c r="DX102" s="342"/>
      <c r="DY102" s="342"/>
      <c r="DZ102" s="342"/>
      <c r="EA102" s="342"/>
      <c r="EB102" s="342"/>
      <c r="EC102" s="342"/>
      <c r="ED102" s="342"/>
      <c r="EE102" s="342"/>
      <c r="EF102" s="342"/>
    </row>
    <row r="103" spans="1:136"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3"/>
      <c r="W103" s="413"/>
      <c r="X103" s="413"/>
      <c r="Y103" s="413"/>
      <c r="Z103" s="413"/>
      <c r="AA103" s="413"/>
      <c r="AB103" s="413"/>
      <c r="AC103" s="413"/>
      <c r="AD103" s="414"/>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c r="DQ103" s="388"/>
      <c r="DR103" s="388"/>
      <c r="DS103" s="388"/>
      <c r="DT103" s="388"/>
      <c r="DU103" s="388"/>
      <c r="DV103" s="388"/>
      <c r="DW103" s="388"/>
      <c r="DX103" s="388"/>
      <c r="DY103" s="388"/>
      <c r="DZ103" s="388"/>
      <c r="EA103" s="388"/>
      <c r="EB103" s="388"/>
      <c r="EC103" s="388"/>
      <c r="ED103" s="388"/>
      <c r="EE103" s="388"/>
      <c r="EF103" s="388"/>
    </row>
    <row r="104" spans="1:136" ht="15" customHeight="1"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289"/>
      <c r="W104" s="289"/>
      <c r="X104" s="289"/>
      <c r="Y104" s="289"/>
      <c r="Z104" s="289"/>
      <c r="AA104" s="289"/>
      <c r="AB104" s="289"/>
      <c r="AC104" s="289"/>
      <c r="AD104" s="419"/>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36" ht="45" customHeight="1" outlineLevel="1" x14ac:dyDescent="0.25">
      <c r="B105" s="471"/>
      <c r="C105" s="425"/>
      <c r="D105" s="425"/>
      <c r="E105" s="425"/>
      <c r="F105" s="425"/>
      <c r="G105" s="524" t="s">
        <v>603</v>
      </c>
      <c r="H105" s="525"/>
      <c r="I105" s="422" t="s">
        <v>614</v>
      </c>
      <c r="J105" s="447"/>
      <c r="K105" s="447"/>
      <c r="L105" s="401"/>
      <c r="M105" s="342"/>
      <c r="N105" s="269" t="s">
        <v>601</v>
      </c>
      <c r="O105" s="270"/>
      <c r="P105" s="425"/>
      <c r="Q105" s="425"/>
      <c r="R105" s="425"/>
      <c r="S105" s="425"/>
      <c r="T105" s="425"/>
      <c r="U105" s="434"/>
      <c r="V105" s="434"/>
      <c r="W105" s="420"/>
      <c r="X105" s="420"/>
      <c r="Y105" s="420"/>
      <c r="Z105" s="420"/>
      <c r="AA105" s="420"/>
      <c r="AB105" s="420"/>
      <c r="AC105" s="422" t="s">
        <v>521</v>
      </c>
      <c r="AD105" s="401"/>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36" outlineLevel="1" x14ac:dyDescent="0.25">
      <c r="B106" s="471"/>
      <c r="C106" s="425"/>
      <c r="D106" s="425"/>
      <c r="E106" s="425"/>
      <c r="F106" s="425"/>
      <c r="G106" s="302">
        <f>$G$16+$K$31</f>
        <v>0.49</v>
      </c>
      <c r="H106" s="427" t="s">
        <v>1</v>
      </c>
      <c r="I106" s="436">
        <v>100</v>
      </c>
      <c r="J106" s="449" t="s">
        <v>2</v>
      </c>
      <c r="K106" s="302">
        <f>G106*I106/100</f>
        <v>0.49</v>
      </c>
      <c r="L106" s="428" t="s">
        <v>1</v>
      </c>
      <c r="M106" s="342"/>
      <c r="N106" s="437">
        <f>GENERALITES!$M$63</f>
        <v>350</v>
      </c>
      <c r="O106" s="427" t="s">
        <v>0</v>
      </c>
      <c r="P106" s="425"/>
      <c r="Q106" s="425"/>
      <c r="R106" s="425"/>
      <c r="S106" s="425"/>
      <c r="T106" s="425"/>
      <c r="U106" s="434"/>
      <c r="V106" s="434"/>
      <c r="W106" s="420"/>
      <c r="X106" s="420"/>
      <c r="Y106" s="420"/>
      <c r="Z106" s="420"/>
      <c r="AA106" s="420"/>
      <c r="AB106" s="420"/>
      <c r="AC106" s="302">
        <f>K106*N106</f>
        <v>171.5</v>
      </c>
      <c r="AD106" s="428" t="s">
        <v>6</v>
      </c>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36" ht="15.75" thickBot="1" x14ac:dyDescent="0.3">
      <c r="B107" s="521"/>
      <c r="C107" s="522"/>
      <c r="D107" s="522"/>
      <c r="E107" s="522"/>
      <c r="F107" s="522"/>
      <c r="G107" s="522"/>
      <c r="H107" s="522"/>
      <c r="I107" s="522"/>
      <c r="J107" s="522"/>
      <c r="K107" s="522"/>
      <c r="L107" s="523"/>
      <c r="N107" s="521"/>
      <c r="O107" s="522"/>
      <c r="P107" s="522"/>
      <c r="Q107" s="522"/>
      <c r="R107" s="522"/>
      <c r="S107" s="522"/>
      <c r="T107" s="522"/>
      <c r="U107" s="522"/>
      <c r="V107" s="522"/>
      <c r="W107" s="522"/>
      <c r="X107" s="522"/>
      <c r="Y107" s="522"/>
      <c r="Z107" s="522"/>
      <c r="AA107" s="522"/>
      <c r="AB107" s="522"/>
      <c r="AC107" s="522"/>
      <c r="AD107" s="523"/>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c r="DQ107" s="388"/>
      <c r="DR107" s="388"/>
      <c r="DS107" s="388"/>
      <c r="DT107" s="388"/>
      <c r="DU107" s="388"/>
      <c r="DV107" s="388"/>
      <c r="DW107" s="388"/>
      <c r="DX107" s="388"/>
      <c r="DY107" s="388"/>
      <c r="DZ107" s="388"/>
      <c r="EA107" s="388"/>
      <c r="EB107" s="388"/>
      <c r="EC107" s="388"/>
      <c r="ED107" s="388"/>
      <c r="EE107" s="388"/>
      <c r="EF107" s="388"/>
    </row>
    <row r="108" spans="1:136" ht="30" customHeight="1" thickBot="1" x14ac:dyDescent="0.3">
      <c r="A108" s="388"/>
      <c r="B108" s="499" t="s">
        <v>513</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1"/>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row>
    <row r="109" spans="1:136"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3"/>
      <c r="W109" s="413"/>
      <c r="X109" s="413"/>
      <c r="Y109" s="413"/>
      <c r="Z109" s="413"/>
      <c r="AA109" s="413"/>
      <c r="AB109" s="413"/>
      <c r="AC109" s="413"/>
      <c r="AD109" s="414"/>
      <c r="AF109" s="412"/>
      <c r="AG109" s="413"/>
      <c r="AH109" s="413"/>
      <c r="AI109" s="413"/>
      <c r="AJ109" s="413"/>
      <c r="AK109" s="413"/>
      <c r="AL109" s="413"/>
      <c r="AM109" s="413"/>
      <c r="AN109" s="413"/>
      <c r="AO109" s="413"/>
      <c r="AP109" s="413"/>
      <c r="AQ109" s="413"/>
      <c r="AR109" s="413"/>
      <c r="AS109" s="413"/>
      <c r="AT109" s="413"/>
      <c r="AU109" s="413"/>
      <c r="AV109" s="414"/>
    </row>
    <row r="110" spans="1:136"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289"/>
      <c r="W110" s="289"/>
      <c r="X110" s="289"/>
      <c r="Y110" s="289"/>
      <c r="Z110" s="289"/>
      <c r="AA110" s="289"/>
      <c r="AB110" s="289"/>
      <c r="AC110" s="289"/>
      <c r="AD110" s="419"/>
      <c r="AE110" s="388"/>
      <c r="AF110" s="418" t="s">
        <v>52</v>
      </c>
      <c r="AG110" s="289"/>
      <c r="AH110" s="289"/>
      <c r="AI110" s="289"/>
      <c r="AJ110" s="289"/>
      <c r="AK110" s="289"/>
      <c r="AL110" s="289"/>
      <c r="AM110" s="289"/>
      <c r="AN110" s="289"/>
      <c r="AO110" s="289"/>
      <c r="AP110" s="289"/>
      <c r="AQ110" s="289"/>
      <c r="AR110" s="289"/>
      <c r="AS110" s="289"/>
      <c r="AT110" s="289"/>
      <c r="AU110" s="289"/>
      <c r="AV110" s="419"/>
      <c r="AX110" s="342"/>
      <c r="AY110" s="342"/>
      <c r="AZ110" s="342"/>
      <c r="BA110" s="342"/>
      <c r="BB110" s="342"/>
      <c r="BC110" s="342"/>
      <c r="BD110" s="342"/>
      <c r="BE110" s="342"/>
      <c r="BF110" s="342"/>
      <c r="BG110" s="342"/>
      <c r="BH110" s="342"/>
      <c r="BI110" s="342"/>
      <c r="BJ110" s="342"/>
    </row>
    <row r="111" spans="1:136" ht="45" customHeight="1" outlineLevel="1" x14ac:dyDescent="0.25">
      <c r="B111" s="421" t="s">
        <v>15</v>
      </c>
      <c r="C111" s="425"/>
      <c r="D111" s="425"/>
      <c r="E111" s="425"/>
      <c r="F111" s="425"/>
      <c r="G111" s="524" t="s">
        <v>603</v>
      </c>
      <c r="H111" s="525"/>
      <c r="I111" s="422" t="s">
        <v>619</v>
      </c>
      <c r="J111" s="447"/>
      <c r="K111" s="447"/>
      <c r="L111" s="401"/>
      <c r="M111" s="342"/>
      <c r="N111" s="269" t="s">
        <v>517</v>
      </c>
      <c r="O111" s="270"/>
      <c r="P111" s="425"/>
      <c r="Q111" s="425"/>
      <c r="R111" s="425"/>
      <c r="S111" s="425"/>
      <c r="T111" s="425"/>
      <c r="U111" s="425"/>
      <c r="V111" s="425"/>
      <c r="W111" s="425"/>
      <c r="X111" s="425"/>
      <c r="Y111" s="425"/>
      <c r="Z111" s="425"/>
      <c r="AA111" s="425"/>
      <c r="AB111" s="425"/>
      <c r="AC111" s="422" t="s">
        <v>521</v>
      </c>
      <c r="AD111" s="401"/>
      <c r="AE111" s="388"/>
      <c r="AF111" s="269" t="s">
        <v>52</v>
      </c>
      <c r="AG111" s="270"/>
      <c r="AH111" s="420"/>
      <c r="AI111" s="420"/>
      <c r="AJ111" s="420"/>
      <c r="AK111" s="420"/>
      <c r="AL111" s="420"/>
      <c r="AM111" s="420"/>
      <c r="AN111" s="420"/>
      <c r="AO111" s="420"/>
      <c r="AP111" s="420"/>
      <c r="AQ111" s="420"/>
      <c r="AR111" s="420"/>
      <c r="AS111" s="420"/>
      <c r="AT111" s="420"/>
      <c r="AU111" s="422" t="s">
        <v>221</v>
      </c>
      <c r="AV111" s="401"/>
      <c r="AX111" s="342"/>
      <c r="AY111" s="342"/>
      <c r="AZ111" s="342"/>
      <c r="BA111" s="342"/>
      <c r="BB111" s="342"/>
      <c r="BC111" s="342"/>
      <c r="BD111" s="342"/>
      <c r="BE111" s="342"/>
      <c r="BF111" s="342"/>
      <c r="BG111" s="342"/>
      <c r="BH111" s="342"/>
      <c r="BI111" s="342"/>
      <c r="BJ111" s="342"/>
    </row>
    <row r="112" spans="1:136" outlineLevel="1" x14ac:dyDescent="0.25">
      <c r="B112" s="426"/>
      <c r="C112" s="425"/>
      <c r="D112" s="425"/>
      <c r="E112" s="425"/>
      <c r="F112" s="425"/>
      <c r="G112" s="302">
        <f>$G$16+$K$31</f>
        <v>0.49</v>
      </c>
      <c r="H112" s="427" t="s">
        <v>1</v>
      </c>
      <c r="I112" s="302">
        <f>SUM(I114:I117)</f>
        <v>100</v>
      </c>
      <c r="J112" s="449" t="s">
        <v>2</v>
      </c>
      <c r="K112" s="302">
        <f>SUM(K114:K117)</f>
        <v>0.49</v>
      </c>
      <c r="L112" s="428" t="s">
        <v>1</v>
      </c>
      <c r="M112" s="342"/>
      <c r="N112" s="450"/>
      <c r="O112" s="427" t="s">
        <v>0</v>
      </c>
      <c r="P112" s="425"/>
      <c r="Q112" s="425"/>
      <c r="R112" s="425"/>
      <c r="S112" s="425"/>
      <c r="T112" s="425"/>
      <c r="U112" s="425"/>
      <c r="V112" s="425"/>
      <c r="W112" s="425"/>
      <c r="X112" s="425"/>
      <c r="Y112" s="425"/>
      <c r="Z112" s="425"/>
      <c r="AA112" s="425"/>
      <c r="AB112" s="425"/>
      <c r="AC112" s="302">
        <f>SUMPRODUCT('ETAPE 2'!K114:K117,'ETAPE 2'!N114:N117)</f>
        <v>-2940</v>
      </c>
      <c r="AD112" s="428" t="s">
        <v>6</v>
      </c>
      <c r="AE112" s="388"/>
      <c r="AF112" s="429"/>
      <c r="AG112" s="430" t="s">
        <v>20</v>
      </c>
      <c r="AH112" s="420"/>
      <c r="AI112" s="420"/>
      <c r="AJ112" s="420"/>
      <c r="AK112" s="420"/>
      <c r="AL112" s="420"/>
      <c r="AM112" s="420"/>
      <c r="AN112" s="420"/>
      <c r="AO112" s="420"/>
      <c r="AP112" s="420"/>
      <c r="AQ112" s="420"/>
      <c r="AR112" s="420"/>
      <c r="AS112" s="420"/>
      <c r="AT112" s="420"/>
      <c r="AU112" s="302">
        <f>SUMPRODUCT('ETAPE 2'!K114:K117,'ETAPE 2'!AF114:AF117)</f>
        <v>1.1809E-5</v>
      </c>
      <c r="AV112" s="428" t="s">
        <v>21</v>
      </c>
      <c r="AX112" s="342"/>
      <c r="AY112" s="342"/>
      <c r="AZ112" s="342"/>
      <c r="BA112" s="342"/>
      <c r="BB112" s="342"/>
      <c r="BC112" s="342"/>
      <c r="BD112" s="342"/>
      <c r="BE112" s="342"/>
      <c r="BF112" s="342"/>
      <c r="BG112" s="342"/>
      <c r="BH112" s="342"/>
      <c r="BI112" s="342"/>
      <c r="BJ112" s="342"/>
    </row>
    <row r="113" spans="1:136" ht="6.75" customHeight="1" outlineLevel="1" x14ac:dyDescent="0.25">
      <c r="A113" s="388"/>
      <c r="B113" s="431"/>
      <c r="C113" s="425"/>
      <c r="D113" s="425"/>
      <c r="E113" s="425"/>
      <c r="F113" s="425"/>
      <c r="G113" s="425"/>
      <c r="H113" s="425"/>
      <c r="I113" s="433"/>
      <c r="J113" s="433"/>
      <c r="K113" s="420"/>
      <c r="L113" s="432"/>
      <c r="M113" s="342"/>
      <c r="N113" s="431"/>
      <c r="O113" s="420"/>
      <c r="P113" s="420"/>
      <c r="Q113" s="420"/>
      <c r="R113" s="420"/>
      <c r="S113" s="420"/>
      <c r="T113" s="420"/>
      <c r="U113" s="420"/>
      <c r="V113" s="420"/>
      <c r="W113" s="420"/>
      <c r="X113" s="420"/>
      <c r="Y113" s="420"/>
      <c r="Z113" s="420"/>
      <c r="AA113" s="420"/>
      <c r="AB113" s="420"/>
      <c r="AC113" s="420"/>
      <c r="AD113" s="432"/>
      <c r="AE113" s="388"/>
      <c r="AF113" s="431"/>
      <c r="AG113" s="420"/>
      <c r="AH113" s="420"/>
      <c r="AI113" s="420"/>
      <c r="AJ113" s="420"/>
      <c r="AK113" s="420"/>
      <c r="AL113" s="420"/>
      <c r="AM113" s="420"/>
      <c r="AN113" s="420"/>
      <c r="AO113" s="420"/>
      <c r="AP113" s="420"/>
      <c r="AQ113" s="420"/>
      <c r="AR113" s="420"/>
      <c r="AS113" s="420"/>
      <c r="AT113" s="420"/>
      <c r="AU113" s="420"/>
      <c r="AV113" s="43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c r="DQ113" s="342"/>
      <c r="DR113" s="342"/>
      <c r="DS113" s="342"/>
      <c r="DT113" s="342"/>
      <c r="DU113" s="342"/>
      <c r="DV113" s="342"/>
      <c r="DW113" s="342"/>
      <c r="DX113" s="342"/>
      <c r="DY113" s="342"/>
      <c r="DZ113" s="342"/>
      <c r="EA113" s="342"/>
      <c r="EB113" s="342"/>
      <c r="EC113" s="342"/>
      <c r="ED113" s="342"/>
      <c r="EE113" s="342"/>
      <c r="EF113" s="342"/>
    </row>
    <row r="114" spans="1:136" outlineLevel="1" x14ac:dyDescent="0.25">
      <c r="B114" s="435" t="s">
        <v>800</v>
      </c>
      <c r="C114" s="425"/>
      <c r="D114" s="425"/>
      <c r="E114" s="425"/>
      <c r="F114" s="425"/>
      <c r="G114" s="425"/>
      <c r="H114" s="425"/>
      <c r="I114" s="436">
        <v>100</v>
      </c>
      <c r="J114" s="449" t="s">
        <v>2</v>
      </c>
      <c r="K114" s="302">
        <f>I114/100*$G$112</f>
        <v>0.49</v>
      </c>
      <c r="L114" s="428" t="s">
        <v>1</v>
      </c>
      <c r="M114" s="342"/>
      <c r="N114" s="437">
        <f>IF(B114&lt;&gt;0,VLOOKUP(B114,GENERALITES!$B$68:$D$71,3,FALSE),"")</f>
        <v>-6000</v>
      </c>
      <c r="O114" s="427" t="s">
        <v>0</v>
      </c>
      <c r="P114" s="438"/>
      <c r="Q114" s="438"/>
      <c r="R114" s="438"/>
      <c r="S114" s="438"/>
      <c r="T114" s="438"/>
      <c r="U114" s="438"/>
      <c r="V114" s="438"/>
      <c r="W114" s="438"/>
      <c r="X114" s="438"/>
      <c r="Y114" s="438"/>
      <c r="Z114" s="438"/>
      <c r="AA114" s="438"/>
      <c r="AB114" s="438"/>
      <c r="AC114" s="420"/>
      <c r="AD114" s="432"/>
      <c r="AE114" s="388"/>
      <c r="AF114" s="437">
        <f>IF(B114&lt;&gt;0,VLOOKUP(B114,GENERALITES!$B$68:$N$71,12,FALSE),"")</f>
        <v>2.41E-5</v>
      </c>
      <c r="AG114" s="427" t="s">
        <v>20</v>
      </c>
      <c r="AH114" s="420"/>
      <c r="AI114" s="420"/>
      <c r="AJ114" s="420"/>
      <c r="AK114" s="420"/>
      <c r="AL114" s="420"/>
      <c r="AM114" s="420"/>
      <c r="AN114" s="420"/>
      <c r="AO114" s="420"/>
      <c r="AP114" s="420"/>
      <c r="AQ114" s="420"/>
      <c r="AR114" s="420"/>
      <c r="AS114" s="420"/>
      <c r="AT114" s="420"/>
      <c r="AU114" s="420"/>
      <c r="AV114" s="432"/>
    </row>
    <row r="115" spans="1:136" outlineLevel="1" x14ac:dyDescent="0.25">
      <c r="B115" s="435"/>
      <c r="C115" s="425"/>
      <c r="D115" s="425"/>
      <c r="E115" s="425"/>
      <c r="F115" s="425"/>
      <c r="G115" s="425"/>
      <c r="H115" s="425"/>
      <c r="I115" s="436"/>
      <c r="J115" s="449" t="s">
        <v>2</v>
      </c>
      <c r="K115" s="302">
        <f t="shared" ref="K115:K117" si="2">I115/100*$G$112</f>
        <v>0</v>
      </c>
      <c r="L115" s="428" t="s">
        <v>1</v>
      </c>
      <c r="M115" s="342"/>
      <c r="N115" s="437" t="str">
        <f>IF(B115&lt;&gt;0,VLOOKUP(B115,GENERALITES!$B$68:$D$71,3,FALSE),"")</f>
        <v/>
      </c>
      <c r="O115" s="427" t="s">
        <v>0</v>
      </c>
      <c r="P115" s="438"/>
      <c r="Q115" s="438"/>
      <c r="R115" s="438"/>
      <c r="S115" s="438"/>
      <c r="T115" s="438"/>
      <c r="U115" s="438"/>
      <c r="V115" s="438"/>
      <c r="W115" s="438"/>
      <c r="X115" s="438"/>
      <c r="Y115" s="438"/>
      <c r="Z115" s="438"/>
      <c r="AA115" s="438"/>
      <c r="AB115" s="438"/>
      <c r="AC115" s="420"/>
      <c r="AD115" s="432"/>
      <c r="AE115" s="388"/>
      <c r="AF115" s="437" t="str">
        <f>IF(B115&lt;&gt;0,VLOOKUP(B115,GENERALITES!$B$68:$N$71,12,FALSE),"")</f>
        <v/>
      </c>
      <c r="AG115" s="427" t="s">
        <v>20</v>
      </c>
      <c r="AH115" s="420"/>
      <c r="AI115" s="420"/>
      <c r="AJ115" s="420"/>
      <c r="AK115" s="420"/>
      <c r="AL115" s="420"/>
      <c r="AM115" s="420"/>
      <c r="AN115" s="420"/>
      <c r="AO115" s="420"/>
      <c r="AP115" s="420"/>
      <c r="AQ115" s="420"/>
      <c r="AR115" s="420"/>
      <c r="AS115" s="420"/>
      <c r="AT115" s="420"/>
      <c r="AU115" s="420"/>
      <c r="AV115" s="432"/>
    </row>
    <row r="116" spans="1:136" outlineLevel="1" x14ac:dyDescent="0.25">
      <c r="B116" s="435"/>
      <c r="C116" s="425"/>
      <c r="D116" s="425"/>
      <c r="E116" s="425"/>
      <c r="F116" s="425"/>
      <c r="G116" s="425"/>
      <c r="H116" s="425"/>
      <c r="I116" s="436"/>
      <c r="J116" s="449" t="s">
        <v>2</v>
      </c>
      <c r="K116" s="302">
        <f t="shared" si="2"/>
        <v>0</v>
      </c>
      <c r="L116" s="428" t="s">
        <v>1</v>
      </c>
      <c r="M116" s="342"/>
      <c r="N116" s="437" t="str">
        <f>IF(B116&lt;&gt;0,VLOOKUP(B116,GENERALITES!$B$68:$D$71,3,FALSE),"")</f>
        <v/>
      </c>
      <c r="O116" s="427" t="s">
        <v>0</v>
      </c>
      <c r="P116" s="438"/>
      <c r="Q116" s="438"/>
      <c r="R116" s="438"/>
      <c r="S116" s="438"/>
      <c r="T116" s="438"/>
      <c r="U116" s="438"/>
      <c r="V116" s="438"/>
      <c r="W116" s="438"/>
      <c r="X116" s="438"/>
      <c r="Y116" s="438"/>
      <c r="Z116" s="438"/>
      <c r="AA116" s="438"/>
      <c r="AB116" s="438"/>
      <c r="AC116" s="420"/>
      <c r="AD116" s="432"/>
      <c r="AE116" s="388"/>
      <c r="AF116" s="437" t="str">
        <f>IF(B116&lt;&gt;0,VLOOKUP(B116,GENERALITES!$B$68:$N$71,12,FALSE),"")</f>
        <v/>
      </c>
      <c r="AG116" s="427" t="s">
        <v>20</v>
      </c>
      <c r="AH116" s="420"/>
      <c r="AI116" s="420"/>
      <c r="AJ116" s="420"/>
      <c r="AK116" s="420"/>
      <c r="AL116" s="420"/>
      <c r="AM116" s="420"/>
      <c r="AN116" s="420"/>
      <c r="AO116" s="420"/>
      <c r="AP116" s="420"/>
      <c r="AQ116" s="420"/>
      <c r="AR116" s="420"/>
      <c r="AS116" s="420"/>
      <c r="AT116" s="420"/>
      <c r="AU116" s="420"/>
      <c r="AV116" s="432"/>
    </row>
    <row r="117" spans="1:136" outlineLevel="1" x14ac:dyDescent="0.25">
      <c r="B117" s="435"/>
      <c r="C117" s="425"/>
      <c r="D117" s="425"/>
      <c r="E117" s="425"/>
      <c r="F117" s="425"/>
      <c r="G117" s="425"/>
      <c r="H117" s="425"/>
      <c r="I117" s="436"/>
      <c r="J117" s="449" t="s">
        <v>2</v>
      </c>
      <c r="K117" s="302">
        <f t="shared" si="2"/>
        <v>0</v>
      </c>
      <c r="L117" s="428" t="s">
        <v>1</v>
      </c>
      <c r="M117" s="342"/>
      <c r="N117" s="437" t="str">
        <f>IF(B117&lt;&gt;0,VLOOKUP(B117,GENERALITES!$B$68:$D$71,3,FALSE),"")</f>
        <v/>
      </c>
      <c r="O117" s="427" t="s">
        <v>0</v>
      </c>
      <c r="P117" s="438"/>
      <c r="Q117" s="438"/>
      <c r="R117" s="438"/>
      <c r="S117" s="438"/>
      <c r="T117" s="438"/>
      <c r="U117" s="438"/>
      <c r="V117" s="438"/>
      <c r="W117" s="438"/>
      <c r="X117" s="438"/>
      <c r="Y117" s="438"/>
      <c r="Z117" s="438"/>
      <c r="AA117" s="438"/>
      <c r="AB117" s="438"/>
      <c r="AC117" s="420"/>
      <c r="AD117" s="432"/>
      <c r="AE117" s="388"/>
      <c r="AF117" s="437" t="str">
        <f>IF(B117&lt;&gt;0,VLOOKUP(B117,GENERALITES!$B$68:$N$71,12,FALSE),"")</f>
        <v/>
      </c>
      <c r="AG117" s="427" t="s">
        <v>20</v>
      </c>
      <c r="AH117" s="420"/>
      <c r="AI117" s="420"/>
      <c r="AJ117" s="420"/>
      <c r="AK117" s="420"/>
      <c r="AL117" s="420"/>
      <c r="AM117" s="420"/>
      <c r="AN117" s="420"/>
      <c r="AO117" s="420"/>
      <c r="AP117" s="420"/>
      <c r="AQ117" s="420"/>
      <c r="AR117" s="420"/>
      <c r="AS117" s="420"/>
      <c r="AT117" s="420"/>
      <c r="AU117" s="420"/>
      <c r="AV117" s="432"/>
    </row>
    <row r="118" spans="1:136" ht="15.75" thickBot="1" x14ac:dyDescent="0.3">
      <c r="A118" s="440"/>
      <c r="B118" s="477"/>
      <c r="C118" s="478"/>
      <c r="D118" s="478"/>
      <c r="E118" s="478"/>
      <c r="F118" s="478"/>
      <c r="G118" s="478"/>
      <c r="H118" s="478"/>
      <c r="I118" s="478"/>
      <c r="J118" s="478"/>
      <c r="K118" s="478"/>
      <c r="L118" s="479"/>
      <c r="M118" s="440"/>
      <c r="N118" s="477"/>
      <c r="O118" s="478"/>
      <c r="P118" s="478"/>
      <c r="Q118" s="478"/>
      <c r="R118" s="478"/>
      <c r="S118" s="478"/>
      <c r="T118" s="478"/>
      <c r="U118" s="478"/>
      <c r="V118" s="478"/>
      <c r="W118" s="478"/>
      <c r="X118" s="478"/>
      <c r="Y118" s="478"/>
      <c r="Z118" s="478"/>
      <c r="AA118" s="478"/>
      <c r="AB118" s="478"/>
      <c r="AC118" s="478"/>
      <c r="AD118" s="479"/>
      <c r="AE118" s="440"/>
      <c r="AF118" s="444"/>
      <c r="AG118" s="445"/>
      <c r="AH118" s="445"/>
      <c r="AI118" s="445"/>
      <c r="AJ118" s="445"/>
      <c r="AK118" s="445"/>
      <c r="AL118" s="445"/>
      <c r="AM118" s="445"/>
      <c r="AN118" s="445"/>
      <c r="AO118" s="445"/>
      <c r="AP118" s="445"/>
      <c r="AQ118" s="445"/>
      <c r="AR118" s="445"/>
      <c r="AS118" s="445"/>
      <c r="AT118" s="445"/>
      <c r="AU118" s="445"/>
      <c r="AV118" s="446"/>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row>
    <row r="119" spans="1:136" ht="30" customHeight="1" thickBot="1" x14ac:dyDescent="0.3">
      <c r="A119" s="388"/>
      <c r="B119" s="499" t="s">
        <v>38</v>
      </c>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1"/>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2"/>
      <c r="DU119" s="342"/>
      <c r="DV119" s="342"/>
      <c r="DW119" s="342"/>
      <c r="DX119" s="342"/>
      <c r="DY119" s="342"/>
      <c r="DZ119" s="342"/>
      <c r="EA119" s="342"/>
      <c r="EB119" s="342"/>
      <c r="EC119" s="342"/>
      <c r="ED119" s="342"/>
      <c r="EE119" s="342"/>
      <c r="EF119" s="342"/>
    </row>
    <row r="120" spans="1:136" ht="15.75" outlineLevel="1" thickBot="1" x14ac:dyDescent="0.3"/>
    <row r="121" spans="1:136" ht="15" customHeight="1" outlineLevel="1" x14ac:dyDescent="0.25">
      <c r="B121" s="526" t="s">
        <v>709</v>
      </c>
      <c r="C121" s="527"/>
      <c r="D121" s="342"/>
      <c r="E121" s="399" t="s">
        <v>710</v>
      </c>
      <c r="F121" s="493"/>
      <c r="G121" s="493"/>
      <c r="H121" s="493"/>
      <c r="I121" s="493"/>
      <c r="J121" s="493"/>
      <c r="K121" s="493"/>
      <c r="L121" s="400"/>
      <c r="M121" s="433"/>
      <c r="N121" s="399" t="s">
        <v>61</v>
      </c>
      <c r="O121" s="493"/>
      <c r="P121" s="493"/>
      <c r="Q121" s="493"/>
      <c r="R121" s="493"/>
      <c r="S121" s="493"/>
      <c r="T121" s="493"/>
      <c r="U121" s="493"/>
      <c r="V121" s="493"/>
      <c r="W121" s="493"/>
      <c r="X121" s="493"/>
      <c r="Y121" s="493"/>
      <c r="Z121" s="493"/>
      <c r="AA121" s="493"/>
      <c r="AB121" s="493"/>
      <c r="AC121" s="493"/>
      <c r="AD121" s="400"/>
      <c r="AE121" s="420"/>
      <c r="AF121" s="399" t="s">
        <v>60</v>
      </c>
      <c r="AG121" s="493"/>
      <c r="AH121" s="493"/>
      <c r="AI121" s="493"/>
      <c r="AJ121" s="493"/>
      <c r="AK121" s="493"/>
      <c r="AL121" s="493"/>
      <c r="AM121" s="493"/>
      <c r="AN121" s="493"/>
      <c r="AO121" s="493"/>
      <c r="AP121" s="493"/>
      <c r="AQ121" s="493"/>
      <c r="AR121" s="493"/>
      <c r="AS121" s="493"/>
      <c r="AT121" s="493"/>
      <c r="AU121" s="493"/>
      <c r="AV121" s="400"/>
      <c r="AW121" s="342"/>
      <c r="AX121" s="342"/>
      <c r="AY121" s="342"/>
      <c r="AZ121" s="342"/>
      <c r="BA121" s="342"/>
      <c r="BB121" s="342"/>
      <c r="BC121" s="342"/>
      <c r="BD121" s="342"/>
      <c r="BE121" s="342"/>
      <c r="BF121" s="342"/>
      <c r="BG121" s="342"/>
      <c r="BH121" s="342"/>
      <c r="BI121" s="342"/>
    </row>
    <row r="122" spans="1:136" ht="43.5" customHeight="1" outlineLevel="1" x14ac:dyDescent="0.25">
      <c r="B122" s="528" t="s">
        <v>583</v>
      </c>
      <c r="C122" s="529"/>
      <c r="D122" s="342"/>
      <c r="E122" s="269" t="s">
        <v>584</v>
      </c>
      <c r="F122" s="270"/>
      <c r="G122" s="422" t="s">
        <v>55</v>
      </c>
      <c r="H122" s="270"/>
      <c r="I122" s="422" t="s">
        <v>558</v>
      </c>
      <c r="J122" s="270"/>
      <c r="K122" s="422" t="s">
        <v>59</v>
      </c>
      <c r="L122" s="401"/>
      <c r="M122" s="420"/>
      <c r="N122" s="471"/>
      <c r="O122" s="425"/>
      <c r="P122" s="422" t="s">
        <v>114</v>
      </c>
      <c r="Q122" s="270"/>
      <c r="R122" s="425"/>
      <c r="S122" s="425"/>
      <c r="T122" s="425"/>
      <c r="U122" s="422" t="s">
        <v>115</v>
      </c>
      <c r="V122" s="270"/>
      <c r="W122" s="425"/>
      <c r="X122" s="422" t="s">
        <v>493</v>
      </c>
      <c r="Y122" s="270"/>
      <c r="Z122" s="422" t="s">
        <v>494</v>
      </c>
      <c r="AA122" s="270"/>
      <c r="AB122" s="425"/>
      <c r="AC122" s="422" t="s">
        <v>202</v>
      </c>
      <c r="AD122" s="401"/>
      <c r="AE122" s="433"/>
      <c r="AF122" s="471"/>
      <c r="AG122" s="425"/>
      <c r="AH122" s="422" t="s">
        <v>117</v>
      </c>
      <c r="AI122" s="270"/>
      <c r="AJ122" s="425"/>
      <c r="AK122" s="425"/>
      <c r="AL122" s="425"/>
      <c r="AM122" s="422" t="s">
        <v>116</v>
      </c>
      <c r="AN122" s="270"/>
      <c r="AO122" s="425"/>
      <c r="AP122" s="422" t="s">
        <v>222</v>
      </c>
      <c r="AQ122" s="270"/>
      <c r="AR122" s="422" t="s">
        <v>223</v>
      </c>
      <c r="AS122" s="270"/>
      <c r="AT122" s="425"/>
      <c r="AU122" s="422" t="s">
        <v>224</v>
      </c>
      <c r="AV122" s="401"/>
      <c r="AW122" s="342"/>
      <c r="AX122" s="342"/>
      <c r="AY122" s="342"/>
      <c r="AZ122" s="342"/>
      <c r="BA122" s="342"/>
      <c r="BB122" s="342"/>
      <c r="BC122" s="342"/>
      <c r="BD122" s="342"/>
      <c r="BE122" s="342"/>
      <c r="BF122" s="342"/>
      <c r="BG122" s="342"/>
      <c r="BH122" s="342"/>
      <c r="BI122" s="342"/>
    </row>
    <row r="123" spans="1:136" ht="15.75" outlineLevel="1" thickBot="1" x14ac:dyDescent="0.3">
      <c r="B123" s="530">
        <f>C16</f>
        <v>22.99</v>
      </c>
      <c r="C123" s="446" t="s">
        <v>1</v>
      </c>
      <c r="D123" s="342"/>
      <c r="E123" s="408">
        <f>E16</f>
        <v>22.99</v>
      </c>
      <c r="F123" s="410" t="s">
        <v>1</v>
      </c>
      <c r="G123" s="411">
        <f>G16</f>
        <v>0.49</v>
      </c>
      <c r="H123" s="410" t="s">
        <v>1</v>
      </c>
      <c r="I123" s="411">
        <f>I16</f>
        <v>0.48</v>
      </c>
      <c r="J123" s="410" t="s">
        <v>1</v>
      </c>
      <c r="K123" s="411">
        <f>K16</f>
        <v>2.1313614615050023</v>
      </c>
      <c r="L123" s="409" t="s">
        <v>2</v>
      </c>
      <c r="M123" s="420"/>
      <c r="N123" s="494"/>
      <c r="O123" s="495"/>
      <c r="P123" s="411">
        <f>P31+P46+P58+P70+P82+P94</f>
        <v>5110</v>
      </c>
      <c r="Q123" s="496" t="s">
        <v>6</v>
      </c>
      <c r="R123" s="495"/>
      <c r="S123" s="495"/>
      <c r="T123" s="495"/>
      <c r="U123" s="411">
        <f>U16+U31+U46+U58+U70+U82+U94</f>
        <v>58532.900885328832</v>
      </c>
      <c r="V123" s="496" t="s">
        <v>6</v>
      </c>
      <c r="W123" s="495"/>
      <c r="X123" s="411">
        <f>X16+X31+X46+X58+X70+X82+X94</f>
        <v>63642.900885328832</v>
      </c>
      <c r="Y123" s="410" t="s">
        <v>6</v>
      </c>
      <c r="Z123" s="497">
        <f>Z16+Z31+Z46+Z58+Z70+Z82+Z94</f>
        <v>2768.2862499055609</v>
      </c>
      <c r="AA123" s="410" t="s">
        <v>72</v>
      </c>
      <c r="AB123" s="495"/>
      <c r="AC123" s="411">
        <f>AC16+AC31+AC46+AC58+AC70+AC82+AC94+AC106+AC112</f>
        <v>-1412.0397375462753</v>
      </c>
      <c r="AD123" s="409" t="s">
        <v>6</v>
      </c>
      <c r="AE123" s="433"/>
      <c r="AF123" s="494"/>
      <c r="AG123" s="495"/>
      <c r="AH123" s="497">
        <f>AH31+AH46+AH58+AH70</f>
        <v>0.47099999999999997</v>
      </c>
      <c r="AI123" s="410" t="s">
        <v>21</v>
      </c>
      <c r="AJ123" s="495"/>
      <c r="AK123" s="495"/>
      <c r="AL123" s="495"/>
      <c r="AM123" s="497">
        <f>AM16+AM31+AM46+AM58+AM70</f>
        <v>195.51226997470488</v>
      </c>
      <c r="AN123" s="410" t="s">
        <v>21</v>
      </c>
      <c r="AO123" s="495"/>
      <c r="AP123" s="497">
        <f>AP16+AP31+AP46+AP58+AP70</f>
        <v>195.98326997470488</v>
      </c>
      <c r="AQ123" s="410" t="s">
        <v>21</v>
      </c>
      <c r="AR123" s="497">
        <f>AR16+AR31+AR46+AR58+AR70</f>
        <v>8.5247181372207432</v>
      </c>
      <c r="AS123" s="410" t="s">
        <v>73</v>
      </c>
      <c r="AT123" s="495"/>
      <c r="AU123" s="411">
        <f>AU16+AU31+AU46+AU58+AU70+AU112</f>
        <v>4.1771236962381639</v>
      </c>
      <c r="AV123" s="409" t="s">
        <v>21</v>
      </c>
      <c r="AW123" s="342"/>
      <c r="AX123" s="342"/>
      <c r="AY123" s="342"/>
      <c r="AZ123" s="342"/>
      <c r="BA123" s="342"/>
      <c r="BB123" s="342"/>
      <c r="BC123" s="342"/>
      <c r="BD123" s="342"/>
      <c r="BE123" s="342"/>
      <c r="BF123" s="342"/>
      <c r="BG123" s="342"/>
      <c r="BH123" s="342"/>
      <c r="BI123" s="342"/>
    </row>
    <row r="124" spans="1:136"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row>
    <row r="125" spans="1:136" x14ac:dyDescent="0.25">
      <c r="E125" s="342"/>
      <c r="F125" s="342"/>
      <c r="G125" s="342"/>
      <c r="H125" s="342"/>
      <c r="I125" s="342"/>
      <c r="J125" s="342"/>
      <c r="K125" s="342"/>
      <c r="L125" s="342"/>
    </row>
    <row r="126" spans="1:136" x14ac:dyDescent="0.25">
      <c r="E126" s="342"/>
      <c r="F126" s="342"/>
      <c r="G126" s="342"/>
      <c r="H126" s="342"/>
      <c r="I126" s="342"/>
      <c r="J126" s="342"/>
      <c r="K126" s="342"/>
      <c r="L126" s="342"/>
    </row>
    <row r="127" spans="1:136" x14ac:dyDescent="0.25">
      <c r="E127" s="342"/>
      <c r="F127" s="342"/>
      <c r="G127" s="342"/>
      <c r="H127" s="342"/>
      <c r="I127" s="342"/>
      <c r="J127" s="342"/>
      <c r="K127" s="342"/>
      <c r="L127" s="342"/>
    </row>
    <row r="129" spans="2:12" x14ac:dyDescent="0.25">
      <c r="B129" s="342"/>
      <c r="C129" s="342"/>
      <c r="D129" s="342"/>
      <c r="E129" s="342"/>
      <c r="F129" s="342"/>
      <c r="G129" s="342"/>
      <c r="H129" s="342"/>
      <c r="I129" s="342"/>
      <c r="J129" s="342"/>
      <c r="K129" s="342"/>
      <c r="L129" s="342"/>
    </row>
    <row r="130" spans="2:12" x14ac:dyDescent="0.25">
      <c r="B130" s="342"/>
      <c r="C130" s="342"/>
      <c r="D130" s="342"/>
      <c r="E130" s="342"/>
      <c r="F130" s="342"/>
      <c r="G130" s="342"/>
      <c r="H130" s="342"/>
      <c r="I130" s="342"/>
      <c r="J130" s="342"/>
      <c r="K130" s="342"/>
      <c r="L130" s="342"/>
    </row>
    <row r="131" spans="2:12" x14ac:dyDescent="0.25">
      <c r="B131" s="342"/>
      <c r="C131" s="342"/>
      <c r="D131" s="342"/>
      <c r="E131" s="342"/>
      <c r="F131" s="342"/>
      <c r="G131" s="342"/>
      <c r="H131" s="342"/>
      <c r="I131" s="342"/>
      <c r="J131" s="342"/>
      <c r="K131" s="342"/>
      <c r="L131" s="342"/>
    </row>
  </sheetData>
  <sheetProtection algorithmName="SHA-512" hashValue="B7KGoOzEeoyxPAuZwDZrdCfRFm7/NRB8C5hJkZX6F6CFJTKK4DxKEKiNcznqfw075sn9d2dQQbuM+9JycYgU4g==" saltValue="UvmsQGIHuluF4MsvlyIx+Q==" spinCount="100000" sheet="1" objects="1" scenarios="1"/>
  <mergeCells count="178">
    <mergeCell ref="P69:Q69"/>
    <mergeCell ref="B12:AV12"/>
    <mergeCell ref="B14:L14"/>
    <mergeCell ref="N14:AD14"/>
    <mergeCell ref="N104:AD104"/>
    <mergeCell ref="B68:L68"/>
    <mergeCell ref="N68:AD68"/>
    <mergeCell ref="B1:G1"/>
    <mergeCell ref="AR30:AS30"/>
    <mergeCell ref="AH30:AI30"/>
    <mergeCell ref="AP30:AQ30"/>
    <mergeCell ref="AR15:AS15"/>
    <mergeCell ref="AM15:AN15"/>
    <mergeCell ref="AK15:AL15"/>
    <mergeCell ref="AF57:AG57"/>
    <mergeCell ref="AP69:AQ69"/>
    <mergeCell ref="AR69:AS69"/>
    <mergeCell ref="Z69:AA69"/>
    <mergeCell ref="AC69:AD69"/>
    <mergeCell ref="AR57:AS57"/>
    <mergeCell ref="AH45:AI45"/>
    <mergeCell ref="AR45:AS45"/>
    <mergeCell ref="Z15:AA15"/>
    <mergeCell ref="AC15:AD15"/>
    <mergeCell ref="X69:Y69"/>
    <mergeCell ref="S69:T69"/>
    <mergeCell ref="N110:AD110"/>
    <mergeCell ref="N69:O69"/>
    <mergeCell ref="B108:AV108"/>
    <mergeCell ref="B110:L110"/>
    <mergeCell ref="AK30:AL30"/>
    <mergeCell ref="AH69:AI69"/>
    <mergeCell ref="AF69:AG69"/>
    <mergeCell ref="U81:V81"/>
    <mergeCell ref="N80:AD80"/>
    <mergeCell ref="G69:H69"/>
    <mergeCell ref="I69:L69"/>
    <mergeCell ref="AC81:AD81"/>
    <mergeCell ref="S93:T93"/>
    <mergeCell ref="U93:V93"/>
    <mergeCell ref="S81:T81"/>
    <mergeCell ref="B40:AV40"/>
    <mergeCell ref="G84:H84"/>
    <mergeCell ref="AP57:AQ57"/>
    <mergeCell ref="AM69:AN69"/>
    <mergeCell ref="S30:T30"/>
    <mergeCell ref="B90:AV90"/>
    <mergeCell ref="B92:L92"/>
    <mergeCell ref="AC105:AD105"/>
    <mergeCell ref="B102:AV102"/>
    <mergeCell ref="N93:O93"/>
    <mergeCell ref="B104:L104"/>
    <mergeCell ref="X81:Y81"/>
    <mergeCell ref="X93:Y93"/>
    <mergeCell ref="G81:H81"/>
    <mergeCell ref="I81:L81"/>
    <mergeCell ref="N81:O81"/>
    <mergeCell ref="I105:L105"/>
    <mergeCell ref="N105:O105"/>
    <mergeCell ref="G105:H105"/>
    <mergeCell ref="AU69:AV69"/>
    <mergeCell ref="AK69:AL69"/>
    <mergeCell ref="P93:Q93"/>
    <mergeCell ref="Z93:AA93"/>
    <mergeCell ref="AC93:AD93"/>
    <mergeCell ref="N92:AD92"/>
    <mergeCell ref="G93:H93"/>
    <mergeCell ref="I93:L93"/>
    <mergeCell ref="N121:AD121"/>
    <mergeCell ref="AF121:AV121"/>
    <mergeCell ref="B119:AV119"/>
    <mergeCell ref="E121:L121"/>
    <mergeCell ref="G111:H111"/>
    <mergeCell ref="B121:C121"/>
    <mergeCell ref="P81:Q81"/>
    <mergeCell ref="AF110:AV110"/>
    <mergeCell ref="B111:B112"/>
    <mergeCell ref="I111:L111"/>
    <mergeCell ref="N111:O111"/>
    <mergeCell ref="AC111:AD111"/>
    <mergeCell ref="AF111:AG111"/>
    <mergeCell ref="AU111:AV111"/>
    <mergeCell ref="B78:H78"/>
    <mergeCell ref="B80:L80"/>
    <mergeCell ref="I122:J122"/>
    <mergeCell ref="E122:F122"/>
    <mergeCell ref="G122:H122"/>
    <mergeCell ref="P122:Q122"/>
    <mergeCell ref="Z122:AA122"/>
    <mergeCell ref="AC122:AD122"/>
    <mergeCell ref="AH122:AI122"/>
    <mergeCell ref="AR122:AS122"/>
    <mergeCell ref="AU122:AV122"/>
    <mergeCell ref="K122:L122"/>
    <mergeCell ref="U122:V122"/>
    <mergeCell ref="X122:Y122"/>
    <mergeCell ref="AM122:AN122"/>
    <mergeCell ref="AP122:AQ122"/>
    <mergeCell ref="B122:C122"/>
    <mergeCell ref="AF68:AV68"/>
    <mergeCell ref="G60:H60"/>
    <mergeCell ref="Z81:AA81"/>
    <mergeCell ref="B54:H54"/>
    <mergeCell ref="B56:L56"/>
    <mergeCell ref="N56:AD56"/>
    <mergeCell ref="AF56:AV56"/>
    <mergeCell ref="G57:H57"/>
    <mergeCell ref="I57:L57"/>
    <mergeCell ref="N57:O57"/>
    <mergeCell ref="P57:Q57"/>
    <mergeCell ref="Z57:AA57"/>
    <mergeCell ref="AC57:AD57"/>
    <mergeCell ref="X57:Y57"/>
    <mergeCell ref="AK57:AL57"/>
    <mergeCell ref="AM57:AN57"/>
    <mergeCell ref="S57:T57"/>
    <mergeCell ref="U57:V57"/>
    <mergeCell ref="AH57:AI57"/>
    <mergeCell ref="AU57:AV57"/>
    <mergeCell ref="B66:H66"/>
    <mergeCell ref="U69:V69"/>
    <mergeCell ref="G72:H72"/>
    <mergeCell ref="AF14:AV14"/>
    <mergeCell ref="AP15:AQ15"/>
    <mergeCell ref="AM30:AN30"/>
    <mergeCell ref="U30:V30"/>
    <mergeCell ref="AU45:AV45"/>
    <mergeCell ref="B42:H42"/>
    <mergeCell ref="B44:L44"/>
    <mergeCell ref="N44:AD44"/>
    <mergeCell ref="AF44:AV44"/>
    <mergeCell ref="G45:H45"/>
    <mergeCell ref="I45:L45"/>
    <mergeCell ref="N45:O45"/>
    <mergeCell ref="P45:Q45"/>
    <mergeCell ref="Z45:AA45"/>
    <mergeCell ref="AC45:AD45"/>
    <mergeCell ref="X45:Y45"/>
    <mergeCell ref="S45:T45"/>
    <mergeCell ref="U45:V45"/>
    <mergeCell ref="AK45:AL45"/>
    <mergeCell ref="AM45:AN45"/>
    <mergeCell ref="AP45:AQ45"/>
    <mergeCell ref="AF45:AG45"/>
    <mergeCell ref="B15:B16"/>
    <mergeCell ref="C15:D15"/>
    <mergeCell ref="AU30:AV30"/>
    <mergeCell ref="AU15:AV15"/>
    <mergeCell ref="B27:AV27"/>
    <mergeCell ref="B29:L29"/>
    <mergeCell ref="N29:AD29"/>
    <mergeCell ref="AF29:AV29"/>
    <mergeCell ref="G30:H30"/>
    <mergeCell ref="I30:L30"/>
    <mergeCell ref="N30:O30"/>
    <mergeCell ref="P30:Q30"/>
    <mergeCell ref="Z30:AA30"/>
    <mergeCell ref="U15:V15"/>
    <mergeCell ref="E15:F15"/>
    <mergeCell ref="G15:H15"/>
    <mergeCell ref="I15:J15"/>
    <mergeCell ref="K15:L15"/>
    <mergeCell ref="X15:Y15"/>
    <mergeCell ref="S15:T15"/>
    <mergeCell ref="B30:B31"/>
    <mergeCell ref="AC30:AD30"/>
    <mergeCell ref="AF30:AG30"/>
    <mergeCell ref="X30:Y30"/>
    <mergeCell ref="B4:L4"/>
    <mergeCell ref="B6:AV6"/>
    <mergeCell ref="B8:C8"/>
    <mergeCell ref="B9:C9"/>
    <mergeCell ref="I9:J9"/>
    <mergeCell ref="G9:H9"/>
    <mergeCell ref="E9:F9"/>
    <mergeCell ref="N9:O9"/>
    <mergeCell ref="E8:J8"/>
    <mergeCell ref="N2:Z4"/>
  </mergeCells>
  <conditionalFormatting sqref="N10">
    <cfRule type="expression" dxfId="83" priority="1">
      <formula>IF($N$10&gt;100,TRUE,FALSE)</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FEF9F475-476F-44B9-9694-6416BDCECB54}">
            <xm:f>IF($B$46=Annexes!$B$3,TRUE,FALSE)</xm:f>
            <x14:dxf>
              <fill>
                <patternFill>
                  <bgColor theme="7" tint="0.79998168889431442"/>
                </patternFill>
              </fill>
            </x14:dxf>
          </x14:cfRule>
          <xm:sqref>G46</xm:sqref>
        </x14:conditionalFormatting>
        <x14:conditionalFormatting xmlns:xm="http://schemas.microsoft.com/office/excel/2006/main">
          <x14:cfRule type="expression" priority="6" id="{9A67748F-C238-4E95-8458-35AD3210678C}">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5" id="{457A6D8A-EDD5-4730-8EE4-55C9D300546A}">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7" id="{0F860810-9158-4273-9038-08DBF71275B0}">
            <xm:f>IF($B$58=Annexes!$B$3,TRUE,FALSE)</xm:f>
            <x14:dxf>
              <fill>
                <patternFill>
                  <bgColor theme="7" tint="0.79998168889431442"/>
                </patternFill>
              </fill>
            </x14:dxf>
          </x14:cfRule>
          <xm:sqref>G58</xm:sqref>
        </x14:conditionalFormatting>
        <x14:conditionalFormatting xmlns:xm="http://schemas.microsoft.com/office/excel/2006/main">
          <x14:cfRule type="expression" priority="9" id="{038B28CD-40A4-4F55-BE04-201B1636B03D}">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8" id="{94082974-806F-4EBE-9049-0E8D27C89F16}">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10" id="{5DB6E31C-02F3-4112-9295-127CE72FB33F}">
            <xm:f>IF($B$70=Annexes!$B$3,TRUE,FALSE)</xm:f>
            <x14:dxf>
              <fill>
                <patternFill>
                  <bgColor theme="7" tint="0.79998168889431442"/>
                </patternFill>
              </fill>
            </x14:dxf>
          </x14:cfRule>
          <xm:sqref>G70</xm:sqref>
        </x14:conditionalFormatting>
        <x14:conditionalFormatting xmlns:xm="http://schemas.microsoft.com/office/excel/2006/main">
          <x14:cfRule type="expression" priority="12" id="{D2EA7BC4-710F-49C0-A497-0B3BEB19FE81}">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11" id="{D418ACDE-0CE8-4532-9123-906FB7C31EE4}">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13" id="{A47C4DFC-628E-4D48-BCE5-D33C71246F0B}">
            <xm:f>IF($B$82=Annexes!$B$3,TRUE,FALSE)</xm:f>
            <x14:dxf>
              <fill>
                <patternFill>
                  <bgColor theme="7" tint="0.79998168889431442"/>
                </patternFill>
              </fill>
            </x14:dxf>
          </x14:cfRule>
          <xm:sqref>G82</xm:sqref>
        </x14:conditionalFormatting>
        <x14:conditionalFormatting xmlns:xm="http://schemas.microsoft.com/office/excel/2006/main">
          <x14:cfRule type="expression" priority="15" id="{F4CA8EC3-800E-4FDF-8C62-FEB6EDA85A06}">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14" id="{F6C4A224-500D-4CC3-8361-4D03DEF58F1E}">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61" id="{7DBF8C94-5288-4140-9261-61BBE7F1D882}">
            <xm:f>IF($B$94=Annexes!$B$3,TRUE,FALSE)</xm:f>
            <x14:dxf>
              <fill>
                <patternFill>
                  <bgColor theme="7" tint="0.79998168889431442"/>
                </patternFill>
              </fill>
            </x14:dxf>
          </x14:cfRule>
          <xm:sqref>G94</xm:sqref>
        </x14:conditionalFormatting>
        <x14:conditionalFormatting xmlns:xm="http://schemas.microsoft.com/office/excel/2006/main">
          <x14:cfRule type="expression" priority="62" id="{F749F937-0E55-4BD1-889C-DCA3ABCF19CD}">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64" id="{383B5101-B048-48D9-ABAC-1CE0FA999DAA}">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GENERALITES!$B$21:$B$31</xm:f>
          </x14:formula1>
          <xm:sqref>B18:B25</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GENERALITES!$B$36:$B$41</xm:f>
          </x14:formula1>
          <xm:sqref>B33:B38</xm:sqref>
        </x14:dataValidation>
        <x14:dataValidation type="list" allowBlank="1" showInputMessage="1" showErrorMessage="1">
          <x14:formula1>
            <xm:f>Annexes!$B$3:$B$4</xm:f>
          </x14:formula1>
          <xm:sqref>B46 B58 B70 B82 B94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F131"/>
  <sheetViews>
    <sheetView showGridLines="0" zoomScaleNormal="100" workbookViewId="0">
      <selection activeCell="S9" sqref="S9"/>
    </sheetView>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0.28515625" style="386" bestFit="1" customWidth="1"/>
    <col min="17" max="17" width="6.28515625" style="386" customWidth="1"/>
    <col min="18" max="18" width="1.140625" style="386" customWidth="1"/>
    <col min="19" max="19" width="9.42578125" style="386" customWidth="1"/>
    <col min="20" max="20" width="6.28515625" style="386" customWidth="1"/>
    <col min="21" max="21" width="12.7109375" style="386" bestFit="1" customWidth="1"/>
    <col min="22" max="22" width="6.28515625" style="386" customWidth="1"/>
    <col min="23" max="23" width="1.140625" style="386" customWidth="1"/>
    <col min="24" max="24" width="12.7109375" style="386" bestFit="1" customWidth="1"/>
    <col min="25" max="25" width="6.28515625" style="386" customWidth="1"/>
    <col min="26" max="26" width="9.42578125" style="386" customWidth="1"/>
    <col min="27" max="27" width="6.28515625" style="386" customWidth="1"/>
    <col min="28" max="28" width="1.140625" style="386" customWidth="1"/>
    <col min="29" max="29" width="12.7109375" style="386" customWidth="1"/>
    <col min="30" max="30" width="6.42578125" style="386" customWidth="1"/>
    <col min="31" max="31" width="2.140625" style="386" customWidth="1"/>
    <col min="32" max="32" width="9.42578125" style="386" customWidth="1"/>
    <col min="33" max="33" width="12.140625" style="386" customWidth="1"/>
    <col min="34" max="34" width="9.42578125" style="386" customWidth="1"/>
    <col min="35" max="35" width="6.28515625" style="386" customWidth="1"/>
    <col min="36" max="36" width="1.140625" style="386" customWidth="1"/>
    <col min="37" max="37" width="9.42578125" style="386" customWidth="1"/>
    <col min="38" max="38" width="12.140625" style="386" customWidth="1"/>
    <col min="39" max="39" width="9.42578125" style="386" customWidth="1"/>
    <col min="40" max="40" width="6.28515625" style="386" customWidth="1"/>
    <col min="41" max="41" width="1.140625" style="386" customWidth="1"/>
    <col min="42" max="42" width="9.42578125" style="386" customWidth="1"/>
    <col min="43" max="43" width="6.28515625" style="386" customWidth="1"/>
    <col min="44" max="44" width="9.42578125" style="386" customWidth="1"/>
    <col min="45" max="45" width="12.140625" style="386" customWidth="1"/>
    <col min="46" max="46" width="1.140625" style="386" customWidth="1"/>
    <col min="47" max="47" width="9.42578125" style="386" customWidth="1"/>
    <col min="48" max="48" width="6.28515625" style="386" customWidth="1"/>
    <col min="49" max="49" width="2.140625" style="386" customWidth="1"/>
    <col min="50" max="50" width="9.42578125" style="386" customWidth="1"/>
    <col min="51" max="51" width="6.28515625" style="386" customWidth="1"/>
    <col min="52" max="52" width="9.42578125" style="386" customWidth="1"/>
    <col min="53" max="53" width="6.28515625" style="386" customWidth="1"/>
    <col min="54" max="54" width="9.42578125" style="386" customWidth="1"/>
    <col min="55" max="55" width="6.7109375" style="386" bestFit="1" customWidth="1"/>
    <col min="56" max="56" width="2.140625" style="386" customWidth="1"/>
    <col min="57" max="57" width="9.42578125" style="386" customWidth="1"/>
    <col min="58" max="58" width="12.140625" style="386" customWidth="1"/>
    <col min="59" max="59" width="9.42578125" style="386" customWidth="1"/>
    <col min="60" max="60" width="6.28515625" style="386" customWidth="1"/>
    <col min="61" max="61" width="9.42578125" style="386" customWidth="1"/>
    <col min="62" max="62" width="6.28515625" style="386" customWidth="1"/>
    <col min="63" max="63" width="9.42578125" style="386" customWidth="1"/>
    <col min="64" max="64" width="6.28515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9.42578125" style="386" customWidth="1"/>
    <col min="75" max="75" width="12" style="386" customWidth="1"/>
    <col min="76" max="76" width="9.42578125" style="386" customWidth="1"/>
    <col min="77" max="77" width="6.28515625" style="386" customWidth="1"/>
    <col min="78" max="78" width="9.42578125" style="386" customWidth="1"/>
    <col min="79" max="79" width="6.28515625" style="386" customWidth="1"/>
    <col min="80" max="80" width="2.140625" style="386" customWidth="1"/>
    <col min="81" max="81" width="9.42578125" style="386" customWidth="1"/>
    <col min="82" max="82" width="6.28515625" style="386" customWidth="1"/>
    <col min="83" max="83" width="9.42578125" style="386" customWidth="1"/>
    <col min="84" max="84" width="8.42578125" style="386" customWidth="1"/>
    <col min="85" max="85" width="9.42578125" style="386" customWidth="1"/>
    <col min="86" max="86" width="6.28515625" style="386" customWidth="1"/>
    <col min="87" max="87" width="9.42578125" style="386" customWidth="1"/>
    <col min="88" max="88" width="6.28515625" style="386" customWidth="1"/>
    <col min="89" max="89" width="2.140625" style="386" customWidth="1"/>
    <col min="90" max="90" width="18.7109375" style="386" customWidth="1"/>
    <col min="91" max="91" width="9.42578125" style="386" customWidth="1"/>
    <col min="92" max="92" width="6.28515625" style="386" customWidth="1"/>
    <col min="93" max="93" width="9.42578125" style="386" customWidth="1"/>
    <col min="94" max="94" width="9" style="386" customWidth="1"/>
    <col min="95" max="95" width="9.42578125" style="386" customWidth="1"/>
    <col min="96" max="96" width="6.28515625" style="386" customWidth="1"/>
    <col min="97" max="97" width="9.42578125" style="386" customWidth="1"/>
    <col min="98" max="98" width="6.28515625" style="386" customWidth="1"/>
    <col min="99" max="99" width="2.140625" style="386" customWidth="1"/>
    <col min="100" max="100" width="18.7109375" style="386" customWidth="1"/>
    <col min="101" max="101" width="9.42578125" style="386" customWidth="1"/>
    <col min="102" max="102" width="6.28515625" style="386" customWidth="1"/>
    <col min="103" max="103" width="9.42578125" style="386" customWidth="1"/>
    <col min="104" max="104" width="6.42578125" style="386" customWidth="1"/>
    <col min="105" max="105" width="9.42578125" style="386" customWidth="1"/>
    <col min="106" max="106" width="6.28515625" style="386" customWidth="1"/>
    <col min="107" max="107" width="9.42578125" style="386" customWidth="1"/>
    <col min="108" max="108" width="6.42578125" style="386" customWidth="1"/>
    <col min="109" max="109" width="9.42578125" style="386" customWidth="1"/>
    <col min="110" max="110" width="6.42578125" style="386" customWidth="1"/>
    <col min="111" max="111" width="2.140625" style="386" customWidth="1"/>
    <col min="112" max="112" width="12.85546875" style="386" customWidth="1"/>
    <col min="113" max="113" width="9.42578125" style="386" customWidth="1"/>
    <col min="114" max="114" width="8.28515625" style="386" customWidth="1"/>
    <col min="115" max="115" width="18.7109375" style="386" customWidth="1"/>
    <col min="116" max="116" width="9.42578125" style="386" customWidth="1"/>
    <col min="117" max="117" width="8.28515625" style="386" customWidth="1"/>
    <col min="118" max="118" width="9.42578125" style="386" customWidth="1"/>
    <col min="119" max="119" width="8.28515625" style="386" customWidth="1"/>
    <col min="120" max="120" width="9.42578125" style="386" customWidth="1"/>
    <col min="121" max="121" width="6.28515625" style="386" customWidth="1"/>
    <col min="122" max="122" width="9.42578125" style="386" customWidth="1"/>
    <col min="123" max="123" width="6.28515625" style="386" customWidth="1"/>
    <col min="124" max="124" width="2.140625" style="386" customWidth="1"/>
    <col min="125" max="125" width="18.7109375" style="386" customWidth="1"/>
    <col min="126" max="126" width="9.42578125" style="386" customWidth="1"/>
    <col min="127" max="127" width="6.28515625" style="386" customWidth="1"/>
    <col min="128" max="128" width="9.42578125" style="386" customWidth="1"/>
    <col min="129" max="129" width="6.28515625" style="386" customWidth="1"/>
    <col min="130" max="130" width="9.42578125" style="386" customWidth="1"/>
    <col min="131" max="131" width="6.28515625" style="386" customWidth="1"/>
    <col min="132" max="132" width="2.140625" style="386" customWidth="1"/>
    <col min="133" max="133" width="9.42578125" style="386" customWidth="1"/>
    <col min="134" max="134" width="12" style="386" customWidth="1"/>
    <col min="135" max="135" width="9.42578125" style="386" customWidth="1"/>
    <col min="136" max="136" width="6.28515625" style="386" customWidth="1"/>
    <col min="137" max="16384" width="11.42578125" style="386"/>
  </cols>
  <sheetData>
    <row r="1" spans="1:136" ht="24" thickBot="1" x14ac:dyDescent="0.4">
      <c r="A1" s="385"/>
      <c r="B1" s="178" t="s">
        <v>725</v>
      </c>
      <c r="C1" s="179"/>
      <c r="D1" s="179"/>
      <c r="E1" s="179"/>
      <c r="F1" s="179"/>
      <c r="G1" s="180"/>
    </row>
    <row r="2" spans="1:136" ht="72" customHeight="1" x14ac:dyDescent="0.25">
      <c r="B2" s="387" t="s">
        <v>225</v>
      </c>
      <c r="C2" s="387"/>
      <c r="D2" s="387"/>
      <c r="E2" s="387"/>
      <c r="F2" s="387"/>
      <c r="G2" s="387"/>
      <c r="H2" s="387"/>
      <c r="I2" s="387"/>
      <c r="J2" s="387"/>
      <c r="K2" s="387"/>
      <c r="L2" s="387"/>
      <c r="M2" s="387"/>
      <c r="N2" s="254" t="s">
        <v>721</v>
      </c>
      <c r="O2" s="255"/>
      <c r="P2" s="255"/>
      <c r="Q2" s="255"/>
      <c r="R2" s="255"/>
      <c r="S2" s="255"/>
      <c r="T2" s="255"/>
      <c r="U2" s="255"/>
      <c r="V2" s="255"/>
      <c r="W2" s="255"/>
      <c r="X2" s="255"/>
      <c r="Y2" s="255"/>
      <c r="Z2" s="256"/>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136" x14ac:dyDescent="0.25">
      <c r="A3" s="388"/>
      <c r="B3" s="498"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88"/>
      <c r="AH3" s="388"/>
      <c r="AI3" s="388"/>
      <c r="AJ3" s="388"/>
      <c r="AK3" s="388"/>
      <c r="AL3" s="388"/>
      <c r="AM3" s="388"/>
      <c r="AN3" s="388"/>
      <c r="AO3" s="388"/>
      <c r="AP3" s="388"/>
      <c r="AQ3" s="388"/>
      <c r="AR3" s="388"/>
      <c r="AS3" s="388"/>
      <c r="AT3" s="388"/>
      <c r="AU3" s="388"/>
      <c r="AV3" s="388"/>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row>
    <row r="4" spans="1:136" ht="24.75" customHeight="1" thickBot="1" x14ac:dyDescent="0.3">
      <c r="B4" s="390" t="s">
        <v>803</v>
      </c>
      <c r="C4" s="391"/>
      <c r="D4" s="391"/>
      <c r="E4" s="391"/>
      <c r="F4" s="391"/>
      <c r="G4" s="391"/>
      <c r="H4" s="391"/>
      <c r="I4" s="391"/>
      <c r="J4" s="391"/>
      <c r="K4" s="391"/>
      <c r="L4" s="392"/>
      <c r="M4" s="393"/>
      <c r="N4" s="275"/>
      <c r="O4" s="276"/>
      <c r="P4" s="276"/>
      <c r="Q4" s="276"/>
      <c r="R4" s="276"/>
      <c r="S4" s="276"/>
      <c r="T4" s="276"/>
      <c r="U4" s="276"/>
      <c r="V4" s="276"/>
      <c r="W4" s="276"/>
      <c r="X4" s="276"/>
      <c r="Y4" s="276"/>
      <c r="Z4" s="277"/>
      <c r="AA4" s="393"/>
      <c r="AB4" s="393"/>
      <c r="AC4" s="393"/>
      <c r="AD4" s="393"/>
      <c r="AE4" s="393"/>
    </row>
    <row r="5" spans="1:136" ht="15.75" thickBot="1" x14ac:dyDescent="0.3">
      <c r="A5" s="388"/>
      <c r="AC5" s="388"/>
      <c r="AD5" s="388"/>
      <c r="AE5" s="388"/>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342"/>
    </row>
    <row r="6" spans="1:136" ht="30" customHeight="1" thickBot="1" x14ac:dyDescent="0.3">
      <c r="A6" s="388"/>
      <c r="B6" s="499" t="s">
        <v>70</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1"/>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c r="DQ6" s="342"/>
      <c r="DR6" s="342"/>
      <c r="DS6" s="342"/>
      <c r="DT6" s="342"/>
      <c r="DU6" s="342"/>
      <c r="DV6" s="342"/>
      <c r="DW6" s="342"/>
      <c r="DX6" s="342"/>
      <c r="DY6" s="342"/>
      <c r="DZ6" s="342"/>
      <c r="EA6" s="342"/>
      <c r="EB6" s="342"/>
      <c r="EC6" s="342"/>
      <c r="ED6" s="342"/>
      <c r="EE6" s="342"/>
      <c r="EF6" s="342"/>
    </row>
    <row r="7" spans="1:136"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42"/>
      <c r="AX7" s="342"/>
      <c r="AY7" s="398"/>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row>
    <row r="8" spans="1:136" ht="15" customHeight="1" outlineLevel="1" thickBot="1" x14ac:dyDescent="0.3">
      <c r="A8" s="342"/>
      <c r="B8" s="531" t="s">
        <v>712</v>
      </c>
      <c r="C8" s="532"/>
      <c r="D8" s="342"/>
      <c r="E8" s="531" t="s">
        <v>713</v>
      </c>
      <c r="F8" s="533"/>
      <c r="G8" s="533"/>
      <c r="H8" s="533"/>
      <c r="I8" s="533"/>
      <c r="J8" s="532"/>
      <c r="K8" s="342"/>
      <c r="L8" s="342"/>
      <c r="M8" s="342"/>
      <c r="AU8" s="342"/>
      <c r="AV8" s="342"/>
      <c r="AW8" s="342"/>
      <c r="AX8" s="398"/>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342"/>
    </row>
    <row r="9" spans="1:136" ht="66.75" customHeight="1" outlineLevel="1" x14ac:dyDescent="0.25">
      <c r="A9" s="342"/>
      <c r="B9" s="269" t="s">
        <v>562</v>
      </c>
      <c r="C9" s="401"/>
      <c r="D9" s="342"/>
      <c r="E9" s="269" t="s">
        <v>553</v>
      </c>
      <c r="F9" s="270"/>
      <c r="G9" s="422" t="s">
        <v>55</v>
      </c>
      <c r="H9" s="270"/>
      <c r="I9" s="422" t="s">
        <v>56</v>
      </c>
      <c r="J9" s="401"/>
      <c r="M9" s="342"/>
      <c r="N9" s="502" t="s">
        <v>564</v>
      </c>
      <c r="O9" s="503"/>
      <c r="AU9" s="342"/>
      <c r="AV9" s="342"/>
      <c r="AW9" s="342"/>
      <c r="AX9" s="342"/>
      <c r="AY9" s="398"/>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row>
    <row r="10" spans="1:136" ht="16.5" customHeight="1" outlineLevel="1" thickBot="1" x14ac:dyDescent="0.3">
      <c r="A10" s="342"/>
      <c r="B10" s="408">
        <f>C16</f>
        <v>22.5</v>
      </c>
      <c r="C10" s="409" t="s">
        <v>1</v>
      </c>
      <c r="D10" s="342"/>
      <c r="E10" s="408">
        <f>E16</f>
        <v>4.95</v>
      </c>
      <c r="F10" s="410" t="s">
        <v>1</v>
      </c>
      <c r="G10" s="411">
        <f>G16</f>
        <v>0</v>
      </c>
      <c r="H10" s="410" t="s">
        <v>1</v>
      </c>
      <c r="I10" s="411">
        <f>E10-G10</f>
        <v>4.95</v>
      </c>
      <c r="J10" s="409" t="s">
        <v>1</v>
      </c>
      <c r="M10" s="342"/>
      <c r="N10" s="408">
        <f>IF(E10&lt;&gt;0,G10/E10*100,0)</f>
        <v>0</v>
      </c>
      <c r="O10" s="409" t="s">
        <v>2</v>
      </c>
      <c r="S10" s="342"/>
      <c r="AU10" s="342"/>
      <c r="AV10" s="342"/>
      <c r="AW10" s="342"/>
      <c r="AX10" s="342"/>
      <c r="AY10" s="398"/>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row>
    <row r="11" spans="1:136" ht="15.75" thickBot="1" x14ac:dyDescent="0.3">
      <c r="A11" s="388"/>
      <c r="E11" s="342"/>
      <c r="F11" s="342"/>
      <c r="G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row>
    <row r="12" spans="1:136" ht="30" customHeight="1" thickBot="1" x14ac:dyDescent="0.3">
      <c r="A12" s="388"/>
      <c r="B12" s="499" t="s">
        <v>64</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1"/>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row>
    <row r="13" spans="1:136"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3"/>
      <c r="W13" s="413"/>
      <c r="X13" s="413"/>
      <c r="Y13" s="413"/>
      <c r="Z13" s="413"/>
      <c r="AA13" s="413"/>
      <c r="AB13" s="413"/>
      <c r="AC13" s="413"/>
      <c r="AD13" s="414"/>
      <c r="AF13" s="412"/>
      <c r="AG13" s="413"/>
      <c r="AH13" s="413"/>
      <c r="AI13" s="413"/>
      <c r="AJ13" s="413"/>
      <c r="AK13" s="413"/>
      <c r="AL13" s="413"/>
      <c r="AM13" s="413"/>
      <c r="AN13" s="413"/>
      <c r="AO13" s="413"/>
      <c r="AP13" s="413"/>
      <c r="AQ13" s="413"/>
      <c r="AR13" s="413"/>
      <c r="AS13" s="413"/>
      <c r="AT13" s="413"/>
      <c r="AU13" s="413"/>
      <c r="AV13" s="414"/>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row>
    <row r="14" spans="1:136"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289"/>
      <c r="W14" s="289"/>
      <c r="X14" s="289"/>
      <c r="Y14" s="289"/>
      <c r="Z14" s="289"/>
      <c r="AA14" s="289"/>
      <c r="AB14" s="289"/>
      <c r="AC14" s="289"/>
      <c r="AD14" s="419"/>
      <c r="AE14" s="420"/>
      <c r="AF14" s="418" t="s">
        <v>45</v>
      </c>
      <c r="AG14" s="289"/>
      <c r="AH14" s="289"/>
      <c r="AI14" s="289"/>
      <c r="AJ14" s="289"/>
      <c r="AK14" s="289"/>
      <c r="AL14" s="289"/>
      <c r="AM14" s="289"/>
      <c r="AN14" s="289"/>
      <c r="AO14" s="289"/>
      <c r="AP14" s="289"/>
      <c r="AQ14" s="289"/>
      <c r="AR14" s="289"/>
      <c r="AS14" s="289"/>
      <c r="AT14" s="289"/>
      <c r="AU14" s="289"/>
      <c r="AV14" s="419"/>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row>
    <row r="15" spans="1:136" ht="43.5" customHeight="1" outlineLevel="1" x14ac:dyDescent="0.25">
      <c r="A15" s="388"/>
      <c r="B15" s="421" t="s">
        <v>567</v>
      </c>
      <c r="C15" s="422" t="s">
        <v>559</v>
      </c>
      <c r="D15" s="270"/>
      <c r="E15" s="422" t="s">
        <v>590</v>
      </c>
      <c r="F15" s="270"/>
      <c r="G15" s="422" t="s">
        <v>563</v>
      </c>
      <c r="H15" s="270"/>
      <c r="I15" s="422" t="s">
        <v>558</v>
      </c>
      <c r="J15" s="270"/>
      <c r="K15" s="422" t="s">
        <v>564</v>
      </c>
      <c r="L15" s="401"/>
      <c r="M15" s="342"/>
      <c r="N15" s="487"/>
      <c r="O15" s="434"/>
      <c r="P15" s="434"/>
      <c r="Q15" s="434"/>
      <c r="R15" s="425"/>
      <c r="S15" s="422" t="s">
        <v>10</v>
      </c>
      <c r="T15" s="270"/>
      <c r="U15" s="422" t="s">
        <v>110</v>
      </c>
      <c r="V15" s="270"/>
      <c r="W15" s="425"/>
      <c r="X15" s="422" t="s">
        <v>226</v>
      </c>
      <c r="Y15" s="270"/>
      <c r="Z15" s="422" t="s">
        <v>227</v>
      </c>
      <c r="AA15" s="270"/>
      <c r="AB15" s="425"/>
      <c r="AC15" s="422" t="s">
        <v>228</v>
      </c>
      <c r="AD15" s="401"/>
      <c r="AE15" s="342"/>
      <c r="AF15" s="471"/>
      <c r="AG15" s="434"/>
      <c r="AH15" s="434"/>
      <c r="AI15" s="434"/>
      <c r="AJ15" s="425"/>
      <c r="AK15" s="422" t="s">
        <v>45</v>
      </c>
      <c r="AL15" s="270"/>
      <c r="AM15" s="422" t="s">
        <v>111</v>
      </c>
      <c r="AN15" s="270"/>
      <c r="AO15" s="425"/>
      <c r="AP15" s="422" t="s">
        <v>229</v>
      </c>
      <c r="AQ15" s="270"/>
      <c r="AR15" s="422" t="s">
        <v>230</v>
      </c>
      <c r="AS15" s="270"/>
      <c r="AT15" s="425"/>
      <c r="AU15" s="422" t="s">
        <v>231</v>
      </c>
      <c r="AV15" s="401"/>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row>
    <row r="16" spans="1:136" outlineLevel="1" x14ac:dyDescent="0.25">
      <c r="A16" s="388"/>
      <c r="B16" s="426"/>
      <c r="C16" s="302">
        <f>SUM(C18:C25)</f>
        <v>22.5</v>
      </c>
      <c r="D16" s="427" t="s">
        <v>1</v>
      </c>
      <c r="E16" s="302">
        <f>SUM(E18:E25)</f>
        <v>4.95</v>
      </c>
      <c r="F16" s="427" t="s">
        <v>1</v>
      </c>
      <c r="G16" s="302">
        <f>SUM(G18:G25)</f>
        <v>0</v>
      </c>
      <c r="H16" s="427" t="s">
        <v>1</v>
      </c>
      <c r="I16" s="302">
        <f>SUM(I18:I25)</f>
        <v>0</v>
      </c>
      <c r="J16" s="427" t="s">
        <v>1</v>
      </c>
      <c r="K16" s="302">
        <f>IF(E16&gt;0,G16/E16*100,"")</f>
        <v>0</v>
      </c>
      <c r="L16" s="428" t="s">
        <v>2</v>
      </c>
      <c r="M16" s="342"/>
      <c r="N16" s="487"/>
      <c r="O16" s="434"/>
      <c r="P16" s="434"/>
      <c r="Q16" s="434"/>
      <c r="R16" s="425"/>
      <c r="S16" s="504"/>
      <c r="T16" s="427" t="s">
        <v>0</v>
      </c>
      <c r="U16" s="302">
        <f>'ETAPE 1'!P16</f>
        <v>47630</v>
      </c>
      <c r="V16" s="427" t="s">
        <v>6</v>
      </c>
      <c r="W16" s="425"/>
      <c r="X16" s="302">
        <f>U16</f>
        <v>47630</v>
      </c>
      <c r="Y16" s="427" t="s">
        <v>6</v>
      </c>
      <c r="Z16" s="302">
        <f>IF($E$10&lt;&gt;0,X16/$E$10,0)</f>
        <v>9622.2222222222226</v>
      </c>
      <c r="AA16" s="430" t="s">
        <v>72</v>
      </c>
      <c r="AB16" s="425"/>
      <c r="AC16" s="302">
        <f>G16*Z16</f>
        <v>0</v>
      </c>
      <c r="AD16" s="428" t="s">
        <v>6</v>
      </c>
      <c r="AE16" s="342"/>
      <c r="AF16" s="471"/>
      <c r="AG16" s="434"/>
      <c r="AH16" s="434"/>
      <c r="AI16" s="434"/>
      <c r="AJ16" s="425"/>
      <c r="AK16" s="504"/>
      <c r="AL16" s="427" t="s">
        <v>20</v>
      </c>
      <c r="AM16" s="302">
        <f>'ETAPE 1'!Z16</f>
        <v>194.15207999999998</v>
      </c>
      <c r="AN16" s="427" t="s">
        <v>21</v>
      </c>
      <c r="AO16" s="425"/>
      <c r="AP16" s="302">
        <f>AM16</f>
        <v>194.15207999999998</v>
      </c>
      <c r="AQ16" s="427" t="s">
        <v>21</v>
      </c>
      <c r="AR16" s="302">
        <f>IF($E$10&lt;&gt;0,AP16/$E$10,0)</f>
        <v>39.222642424242423</v>
      </c>
      <c r="AS16" s="427" t="s">
        <v>73</v>
      </c>
      <c r="AT16" s="425"/>
      <c r="AU16" s="302">
        <f>G16*AR16</f>
        <v>0</v>
      </c>
      <c r="AV16" s="428" t="s">
        <v>21</v>
      </c>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row>
    <row r="17" spans="1:136" ht="6.75" customHeight="1" outlineLevel="1" x14ac:dyDescent="0.25">
      <c r="A17" s="388"/>
      <c r="B17" s="431"/>
      <c r="C17" s="420"/>
      <c r="D17" s="420"/>
      <c r="E17" s="420"/>
      <c r="F17" s="420"/>
      <c r="G17" s="420"/>
      <c r="H17" s="420"/>
      <c r="I17" s="420"/>
      <c r="J17" s="420"/>
      <c r="K17" s="420"/>
      <c r="L17" s="432"/>
      <c r="M17" s="420"/>
      <c r="N17" s="487"/>
      <c r="O17" s="434"/>
      <c r="P17" s="434"/>
      <c r="Q17" s="434"/>
      <c r="R17" s="420"/>
      <c r="S17" s="420"/>
      <c r="T17" s="420"/>
      <c r="U17" s="420"/>
      <c r="V17" s="420"/>
      <c r="W17" s="420"/>
      <c r="X17" s="420"/>
      <c r="Y17" s="420"/>
      <c r="Z17" s="433"/>
      <c r="AA17" s="433"/>
      <c r="AB17" s="433"/>
      <c r="AC17" s="420"/>
      <c r="AD17" s="432"/>
      <c r="AE17" s="388"/>
      <c r="AF17" s="487"/>
      <c r="AG17" s="434"/>
      <c r="AH17" s="434"/>
      <c r="AI17" s="434"/>
      <c r="AJ17" s="420"/>
      <c r="AK17" s="420"/>
      <c r="AL17" s="420"/>
      <c r="AM17" s="420"/>
      <c r="AN17" s="420"/>
      <c r="AO17" s="420"/>
      <c r="AP17" s="420"/>
      <c r="AQ17" s="420"/>
      <c r="AR17" s="420"/>
      <c r="AS17" s="420"/>
      <c r="AT17" s="420"/>
      <c r="AU17" s="420"/>
      <c r="AV17" s="43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row>
    <row r="18" spans="1:136" outlineLevel="1" x14ac:dyDescent="0.25">
      <c r="A18" s="388"/>
      <c r="B18" s="435" t="s">
        <v>791</v>
      </c>
      <c r="C18" s="340">
        <v>22.5</v>
      </c>
      <c r="D18" s="427" t="s">
        <v>1</v>
      </c>
      <c r="E18" s="436">
        <v>4.95</v>
      </c>
      <c r="F18" s="427" t="s">
        <v>1</v>
      </c>
      <c r="G18" s="436">
        <v>0</v>
      </c>
      <c r="H18" s="427" t="s">
        <v>1</v>
      </c>
      <c r="I18" s="436">
        <v>0</v>
      </c>
      <c r="J18" s="427" t="s">
        <v>1</v>
      </c>
      <c r="K18" s="302">
        <f>IF(E18&gt;0,G18/E18*100,"")</f>
        <v>0</v>
      </c>
      <c r="L18" s="428" t="s">
        <v>2</v>
      </c>
      <c r="M18" s="420"/>
      <c r="N18" s="487"/>
      <c r="O18" s="434"/>
      <c r="P18" s="434"/>
      <c r="Q18" s="434"/>
      <c r="R18" s="438"/>
      <c r="S18" s="302">
        <f>IF(B18&lt;&gt;0,VLOOKUP(B18,GENERALITES!$B$21:$D$31,3,FALSE),"")</f>
        <v>1000</v>
      </c>
      <c r="T18" s="427" t="s">
        <v>0</v>
      </c>
      <c r="U18" s="438"/>
      <c r="V18" s="438"/>
      <c r="W18" s="438"/>
      <c r="X18" s="438"/>
      <c r="Y18" s="438"/>
      <c r="Z18" s="425"/>
      <c r="AA18" s="425"/>
      <c r="AB18" s="425"/>
      <c r="AC18" s="438"/>
      <c r="AD18" s="439"/>
      <c r="AE18" s="388"/>
      <c r="AF18" s="487"/>
      <c r="AG18" s="434"/>
      <c r="AH18" s="434"/>
      <c r="AI18" s="434"/>
      <c r="AJ18" s="438"/>
      <c r="AK18" s="302">
        <f>IF(B18&lt;&gt;0,VLOOKUP(B18,GENERALITES!$B$21:$N$31,12,FALSE),"")</f>
        <v>7.8599999999999994</v>
      </c>
      <c r="AL18" s="427" t="s">
        <v>20</v>
      </c>
      <c r="AM18" s="438"/>
      <c r="AN18" s="438"/>
      <c r="AO18" s="438"/>
      <c r="AP18" s="438"/>
      <c r="AQ18" s="438"/>
      <c r="AR18" s="425"/>
      <c r="AS18" s="425"/>
      <c r="AT18" s="425"/>
      <c r="AU18" s="438"/>
      <c r="AV18" s="439"/>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row>
    <row r="19" spans="1:136" outlineLevel="1" x14ac:dyDescent="0.25">
      <c r="A19" s="388"/>
      <c r="B19" s="435"/>
      <c r="C19" s="340"/>
      <c r="D19" s="427" t="s">
        <v>1</v>
      </c>
      <c r="E19" s="436"/>
      <c r="F19" s="427" t="s">
        <v>1</v>
      </c>
      <c r="G19" s="436"/>
      <c r="H19" s="427" t="s">
        <v>1</v>
      </c>
      <c r="I19" s="436"/>
      <c r="J19" s="427" t="s">
        <v>1</v>
      </c>
      <c r="K19" s="302" t="str">
        <f t="shared" ref="K19:K25" si="0">IF(E19&gt;0,G19/E19*100,"")</f>
        <v/>
      </c>
      <c r="L19" s="428" t="s">
        <v>2</v>
      </c>
      <c r="M19" s="420"/>
      <c r="N19" s="487"/>
      <c r="O19" s="434"/>
      <c r="P19" s="434"/>
      <c r="Q19" s="434"/>
      <c r="R19" s="438"/>
      <c r="S19" s="302" t="str">
        <f>IF(B19&lt;&gt;0,VLOOKUP(B19,GENERALITES!$B$21:$D$31,3,FALSE),"")</f>
        <v/>
      </c>
      <c r="T19" s="427" t="s">
        <v>0</v>
      </c>
      <c r="U19" s="438"/>
      <c r="V19" s="438"/>
      <c r="W19" s="438"/>
      <c r="X19" s="438"/>
      <c r="Y19" s="438"/>
      <c r="Z19" s="425"/>
      <c r="AA19" s="425"/>
      <c r="AB19" s="425"/>
      <c r="AC19" s="438"/>
      <c r="AD19" s="439"/>
      <c r="AE19" s="388"/>
      <c r="AF19" s="487"/>
      <c r="AG19" s="434"/>
      <c r="AH19" s="434"/>
      <c r="AI19" s="434"/>
      <c r="AJ19" s="438"/>
      <c r="AK19" s="302" t="str">
        <f>IF(B19&lt;&gt;0,VLOOKUP(B19,GENERALITES!$B$21:$N$31,12,FALSE),"")</f>
        <v/>
      </c>
      <c r="AL19" s="427" t="s">
        <v>20</v>
      </c>
      <c r="AM19" s="438"/>
      <c r="AN19" s="438"/>
      <c r="AO19" s="438"/>
      <c r="AP19" s="438"/>
      <c r="AQ19" s="438"/>
      <c r="AR19" s="425"/>
      <c r="AS19" s="425"/>
      <c r="AT19" s="425"/>
      <c r="AU19" s="438"/>
      <c r="AV19" s="439"/>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row>
    <row r="20" spans="1:136" outlineLevel="1" x14ac:dyDescent="0.25">
      <c r="A20" s="440"/>
      <c r="B20" s="435"/>
      <c r="C20" s="340"/>
      <c r="D20" s="427" t="s">
        <v>1</v>
      </c>
      <c r="E20" s="436"/>
      <c r="F20" s="427" t="s">
        <v>1</v>
      </c>
      <c r="G20" s="436"/>
      <c r="H20" s="427" t="s">
        <v>1</v>
      </c>
      <c r="I20" s="436"/>
      <c r="J20" s="427" t="s">
        <v>1</v>
      </c>
      <c r="K20" s="302" t="str">
        <f t="shared" si="0"/>
        <v/>
      </c>
      <c r="L20" s="428" t="s">
        <v>2</v>
      </c>
      <c r="M20" s="420"/>
      <c r="N20" s="487"/>
      <c r="O20" s="434"/>
      <c r="P20" s="434"/>
      <c r="Q20" s="434"/>
      <c r="R20" s="438"/>
      <c r="S20" s="302" t="str">
        <f>IF(B20&lt;&gt;0,VLOOKUP(B20,GENERALITES!$B$21:$D$31,3,FALSE),"")</f>
        <v/>
      </c>
      <c r="T20" s="427" t="s">
        <v>0</v>
      </c>
      <c r="U20" s="438"/>
      <c r="V20" s="438"/>
      <c r="W20" s="438"/>
      <c r="X20" s="438"/>
      <c r="Y20" s="438"/>
      <c r="Z20" s="425"/>
      <c r="AA20" s="425"/>
      <c r="AB20" s="425"/>
      <c r="AC20" s="438"/>
      <c r="AD20" s="439"/>
      <c r="AE20" s="388"/>
      <c r="AF20" s="487"/>
      <c r="AG20" s="434"/>
      <c r="AH20" s="434"/>
      <c r="AI20" s="434"/>
      <c r="AJ20" s="438"/>
      <c r="AK20" s="302" t="str">
        <f>IF(B20&lt;&gt;0,VLOOKUP(B20,GENERALITES!$B$21:$N$31,12,FALSE),"")</f>
        <v/>
      </c>
      <c r="AL20" s="427" t="s">
        <v>20</v>
      </c>
      <c r="AM20" s="438"/>
      <c r="AN20" s="438"/>
      <c r="AO20" s="438"/>
      <c r="AP20" s="438"/>
      <c r="AQ20" s="438"/>
      <c r="AR20" s="425"/>
      <c r="AS20" s="425"/>
      <c r="AT20" s="425"/>
      <c r="AU20" s="438"/>
      <c r="AV20" s="439"/>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row>
    <row r="21" spans="1:136" outlineLevel="1" x14ac:dyDescent="0.25">
      <c r="A21" s="440"/>
      <c r="B21" s="435"/>
      <c r="C21" s="340"/>
      <c r="D21" s="427" t="s">
        <v>1</v>
      </c>
      <c r="E21" s="436"/>
      <c r="F21" s="427" t="s">
        <v>1</v>
      </c>
      <c r="G21" s="436"/>
      <c r="H21" s="427" t="s">
        <v>1</v>
      </c>
      <c r="I21" s="436"/>
      <c r="J21" s="427" t="s">
        <v>1</v>
      </c>
      <c r="K21" s="302" t="str">
        <f t="shared" si="0"/>
        <v/>
      </c>
      <c r="L21" s="428" t="s">
        <v>2</v>
      </c>
      <c r="M21" s="420"/>
      <c r="N21" s="487"/>
      <c r="O21" s="434"/>
      <c r="P21" s="434"/>
      <c r="Q21" s="434"/>
      <c r="R21" s="438"/>
      <c r="S21" s="302" t="str">
        <f>IF(B21&lt;&gt;0,VLOOKUP(B21,GENERALITES!$B$21:$D$31,3,FALSE),"")</f>
        <v/>
      </c>
      <c r="T21" s="427" t="s">
        <v>0</v>
      </c>
      <c r="U21" s="438"/>
      <c r="V21" s="438"/>
      <c r="W21" s="438"/>
      <c r="X21" s="438"/>
      <c r="Y21" s="438"/>
      <c r="Z21" s="425"/>
      <c r="AA21" s="425"/>
      <c r="AB21" s="425"/>
      <c r="AC21" s="438"/>
      <c r="AD21" s="439"/>
      <c r="AE21" s="388"/>
      <c r="AF21" s="487"/>
      <c r="AG21" s="434"/>
      <c r="AH21" s="434"/>
      <c r="AI21" s="434"/>
      <c r="AJ21" s="438"/>
      <c r="AK21" s="302" t="str">
        <f>IF(B21&lt;&gt;0,VLOOKUP(B21,GENERALITES!$B$21:$N$31,12,FALSE),"")</f>
        <v/>
      </c>
      <c r="AL21" s="427" t="s">
        <v>20</v>
      </c>
      <c r="AM21" s="438"/>
      <c r="AN21" s="438"/>
      <c r="AO21" s="438"/>
      <c r="AP21" s="438"/>
      <c r="AQ21" s="438"/>
      <c r="AR21" s="425"/>
      <c r="AS21" s="425"/>
      <c r="AT21" s="425"/>
      <c r="AU21" s="438"/>
      <c r="AV21" s="439"/>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row>
    <row r="22" spans="1:136" outlineLevel="1" x14ac:dyDescent="0.25">
      <c r="A22" s="440"/>
      <c r="B22" s="435"/>
      <c r="C22" s="340"/>
      <c r="D22" s="427" t="s">
        <v>1</v>
      </c>
      <c r="E22" s="436"/>
      <c r="F22" s="427" t="s">
        <v>1</v>
      </c>
      <c r="G22" s="436"/>
      <c r="H22" s="427" t="s">
        <v>1</v>
      </c>
      <c r="I22" s="436"/>
      <c r="J22" s="427" t="s">
        <v>1</v>
      </c>
      <c r="K22" s="302" t="str">
        <f t="shared" si="0"/>
        <v/>
      </c>
      <c r="L22" s="428" t="s">
        <v>2</v>
      </c>
      <c r="M22" s="420"/>
      <c r="N22" s="487"/>
      <c r="O22" s="434"/>
      <c r="P22" s="434"/>
      <c r="Q22" s="434"/>
      <c r="R22" s="438"/>
      <c r="S22" s="302" t="str">
        <f>IF(B22&lt;&gt;0,VLOOKUP(B22,GENERALITES!$B$21:$D$31,3,FALSE),"")</f>
        <v/>
      </c>
      <c r="T22" s="427" t="s">
        <v>0</v>
      </c>
      <c r="U22" s="438"/>
      <c r="V22" s="438"/>
      <c r="W22" s="438"/>
      <c r="X22" s="438"/>
      <c r="Y22" s="438"/>
      <c r="Z22" s="425"/>
      <c r="AA22" s="425"/>
      <c r="AB22" s="425"/>
      <c r="AC22" s="438"/>
      <c r="AD22" s="439"/>
      <c r="AE22" s="388"/>
      <c r="AF22" s="487"/>
      <c r="AG22" s="434"/>
      <c r="AH22" s="434"/>
      <c r="AI22" s="434"/>
      <c r="AJ22" s="438"/>
      <c r="AK22" s="302" t="str">
        <f>IF(B22&lt;&gt;0,VLOOKUP(B22,GENERALITES!$B$21:$N$31,12,FALSE),"")</f>
        <v/>
      </c>
      <c r="AL22" s="427" t="s">
        <v>20</v>
      </c>
      <c r="AM22" s="438"/>
      <c r="AN22" s="438"/>
      <c r="AO22" s="438"/>
      <c r="AP22" s="438"/>
      <c r="AQ22" s="438"/>
      <c r="AR22" s="425"/>
      <c r="AS22" s="425"/>
      <c r="AT22" s="425"/>
      <c r="AU22" s="438"/>
      <c r="AV22" s="439"/>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row>
    <row r="23" spans="1:136" outlineLevel="1" x14ac:dyDescent="0.25">
      <c r="A23" s="440"/>
      <c r="B23" s="435"/>
      <c r="C23" s="340"/>
      <c r="D23" s="427" t="s">
        <v>1</v>
      </c>
      <c r="E23" s="436"/>
      <c r="F23" s="427" t="s">
        <v>1</v>
      </c>
      <c r="G23" s="436"/>
      <c r="H23" s="427" t="s">
        <v>1</v>
      </c>
      <c r="I23" s="436"/>
      <c r="J23" s="427" t="s">
        <v>1</v>
      </c>
      <c r="K23" s="302" t="str">
        <f t="shared" si="0"/>
        <v/>
      </c>
      <c r="L23" s="428" t="s">
        <v>2</v>
      </c>
      <c r="M23" s="420"/>
      <c r="N23" s="487"/>
      <c r="O23" s="434"/>
      <c r="P23" s="434"/>
      <c r="Q23" s="434"/>
      <c r="R23" s="438"/>
      <c r="S23" s="302" t="str">
        <f>IF(B23&lt;&gt;0,VLOOKUP(B23,GENERALITES!$B$21:$D$31,3,FALSE),"")</f>
        <v/>
      </c>
      <c r="T23" s="427" t="s">
        <v>0</v>
      </c>
      <c r="U23" s="438"/>
      <c r="V23" s="438"/>
      <c r="W23" s="438"/>
      <c r="X23" s="438"/>
      <c r="Y23" s="438"/>
      <c r="Z23" s="425"/>
      <c r="AA23" s="425"/>
      <c r="AB23" s="425"/>
      <c r="AC23" s="438"/>
      <c r="AD23" s="439"/>
      <c r="AE23" s="388"/>
      <c r="AF23" s="487"/>
      <c r="AG23" s="434"/>
      <c r="AH23" s="434"/>
      <c r="AI23" s="434"/>
      <c r="AJ23" s="438"/>
      <c r="AK23" s="302" t="str">
        <f>IF(B23&lt;&gt;0,VLOOKUP(B23,GENERALITES!$B$21:$N$31,12,FALSE),"")</f>
        <v/>
      </c>
      <c r="AL23" s="427" t="s">
        <v>20</v>
      </c>
      <c r="AM23" s="438"/>
      <c r="AN23" s="438"/>
      <c r="AO23" s="438"/>
      <c r="AP23" s="438"/>
      <c r="AQ23" s="438"/>
      <c r="AR23" s="425"/>
      <c r="AS23" s="425"/>
      <c r="AT23" s="425"/>
      <c r="AU23" s="438"/>
      <c r="AV23" s="439"/>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row>
    <row r="24" spans="1:136" outlineLevel="1" x14ac:dyDescent="0.25">
      <c r="A24" s="440"/>
      <c r="B24" s="435"/>
      <c r="C24" s="340"/>
      <c r="D24" s="427" t="s">
        <v>1</v>
      </c>
      <c r="E24" s="436"/>
      <c r="F24" s="427" t="s">
        <v>1</v>
      </c>
      <c r="G24" s="436"/>
      <c r="H24" s="427" t="s">
        <v>1</v>
      </c>
      <c r="I24" s="436"/>
      <c r="J24" s="427" t="s">
        <v>1</v>
      </c>
      <c r="K24" s="302" t="str">
        <f t="shared" si="0"/>
        <v/>
      </c>
      <c r="L24" s="428" t="s">
        <v>2</v>
      </c>
      <c r="M24" s="420"/>
      <c r="N24" s="487"/>
      <c r="O24" s="434"/>
      <c r="P24" s="434"/>
      <c r="Q24" s="434"/>
      <c r="R24" s="438"/>
      <c r="S24" s="302" t="str">
        <f>IF(B24&lt;&gt;0,VLOOKUP(B24,GENERALITES!$B$21:$D$31,3,FALSE),"")</f>
        <v/>
      </c>
      <c r="T24" s="427" t="s">
        <v>0</v>
      </c>
      <c r="U24" s="438"/>
      <c r="V24" s="438"/>
      <c r="W24" s="438"/>
      <c r="X24" s="438"/>
      <c r="Y24" s="438"/>
      <c r="Z24" s="425"/>
      <c r="AA24" s="425"/>
      <c r="AB24" s="425"/>
      <c r="AC24" s="438"/>
      <c r="AD24" s="439"/>
      <c r="AE24" s="388"/>
      <c r="AF24" s="487"/>
      <c r="AG24" s="434"/>
      <c r="AH24" s="434"/>
      <c r="AI24" s="434"/>
      <c r="AJ24" s="438"/>
      <c r="AK24" s="302" t="str">
        <f>IF(B24&lt;&gt;0,VLOOKUP(B24,GENERALITES!$B$21:$N$31,12,FALSE),"")</f>
        <v/>
      </c>
      <c r="AL24" s="427" t="s">
        <v>20</v>
      </c>
      <c r="AM24" s="438"/>
      <c r="AN24" s="438"/>
      <c r="AO24" s="438"/>
      <c r="AP24" s="438"/>
      <c r="AQ24" s="438"/>
      <c r="AR24" s="425"/>
      <c r="AS24" s="425"/>
      <c r="AT24" s="425"/>
      <c r="AU24" s="438"/>
      <c r="AV24" s="439"/>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row>
    <row r="25" spans="1:136" outlineLevel="1" x14ac:dyDescent="0.25">
      <c r="A25" s="440"/>
      <c r="B25" s="435"/>
      <c r="C25" s="340"/>
      <c r="D25" s="427" t="s">
        <v>1</v>
      </c>
      <c r="E25" s="436"/>
      <c r="F25" s="427" t="s">
        <v>1</v>
      </c>
      <c r="G25" s="436"/>
      <c r="H25" s="427" t="s">
        <v>1</v>
      </c>
      <c r="I25" s="436"/>
      <c r="J25" s="427" t="s">
        <v>1</v>
      </c>
      <c r="K25" s="302" t="str">
        <f t="shared" si="0"/>
        <v/>
      </c>
      <c r="L25" s="428" t="s">
        <v>2</v>
      </c>
      <c r="M25" s="420"/>
      <c r="N25" s="487"/>
      <c r="O25" s="434"/>
      <c r="P25" s="434"/>
      <c r="Q25" s="434"/>
      <c r="R25" s="438"/>
      <c r="S25" s="302" t="str">
        <f>IF(B25&lt;&gt;0,VLOOKUP(B25,GENERALITES!$B$21:$D$31,3,FALSE),"")</f>
        <v/>
      </c>
      <c r="T25" s="427" t="s">
        <v>0</v>
      </c>
      <c r="U25" s="438"/>
      <c r="V25" s="438"/>
      <c r="W25" s="438"/>
      <c r="X25" s="438"/>
      <c r="Y25" s="438"/>
      <c r="Z25" s="425"/>
      <c r="AA25" s="425"/>
      <c r="AB25" s="425"/>
      <c r="AC25" s="438"/>
      <c r="AD25" s="439"/>
      <c r="AE25" s="388"/>
      <c r="AF25" s="487"/>
      <c r="AG25" s="434"/>
      <c r="AH25" s="434"/>
      <c r="AI25" s="434"/>
      <c r="AJ25" s="420"/>
      <c r="AK25" s="302" t="str">
        <f>IF(B25&lt;&gt;0,VLOOKUP(B25,GENERALITES!$B$21:$N$31,12,FALSE),"")</f>
        <v/>
      </c>
      <c r="AL25" s="427" t="s">
        <v>20</v>
      </c>
      <c r="AM25" s="420"/>
      <c r="AN25" s="420"/>
      <c r="AO25" s="420"/>
      <c r="AP25" s="420"/>
      <c r="AQ25" s="420"/>
      <c r="AR25" s="425"/>
      <c r="AS25" s="425"/>
      <c r="AT25" s="425"/>
      <c r="AU25" s="420"/>
      <c r="AV25" s="432"/>
      <c r="AW25" s="388"/>
      <c r="AX25" s="342"/>
      <c r="AY25" s="342"/>
      <c r="BD25" s="342"/>
      <c r="BE25" s="342"/>
      <c r="BF25" s="342"/>
      <c r="BG25" s="342"/>
      <c r="BH25" s="342"/>
      <c r="BI25" s="342"/>
      <c r="BJ25" s="342"/>
      <c r="BK25" s="342"/>
      <c r="BL25" s="342"/>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row>
    <row r="26" spans="1:136" ht="15.75" thickBot="1" x14ac:dyDescent="0.3">
      <c r="A26" s="440"/>
      <c r="B26" s="477"/>
      <c r="C26" s="478"/>
      <c r="D26" s="478"/>
      <c r="E26" s="478"/>
      <c r="F26" s="478"/>
      <c r="G26" s="478"/>
      <c r="H26" s="478"/>
      <c r="I26" s="478"/>
      <c r="J26" s="478"/>
      <c r="K26" s="478"/>
      <c r="L26" s="479"/>
      <c r="M26" s="440"/>
      <c r="N26" s="477"/>
      <c r="O26" s="478"/>
      <c r="P26" s="478"/>
      <c r="Q26" s="478"/>
      <c r="R26" s="478"/>
      <c r="S26" s="478"/>
      <c r="T26" s="478"/>
      <c r="U26" s="478"/>
      <c r="V26" s="478"/>
      <c r="W26" s="478"/>
      <c r="X26" s="478"/>
      <c r="Y26" s="478"/>
      <c r="Z26" s="478"/>
      <c r="AA26" s="478"/>
      <c r="AB26" s="478"/>
      <c r="AC26" s="478"/>
      <c r="AD26" s="479"/>
      <c r="AE26" s="440"/>
      <c r="AF26" s="444"/>
      <c r="AG26" s="445"/>
      <c r="AH26" s="445"/>
      <c r="AI26" s="445"/>
      <c r="AJ26" s="445"/>
      <c r="AK26" s="445"/>
      <c r="AL26" s="445"/>
      <c r="AM26" s="445"/>
      <c r="AN26" s="445"/>
      <c r="AO26" s="445"/>
      <c r="AP26" s="445"/>
      <c r="AQ26" s="445"/>
      <c r="AR26" s="445"/>
      <c r="AS26" s="445"/>
      <c r="AT26" s="445"/>
      <c r="AU26" s="445"/>
      <c r="AV26" s="446"/>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row>
    <row r="27" spans="1:136" ht="30" customHeight="1" thickBot="1" x14ac:dyDescent="0.3">
      <c r="A27" s="388"/>
      <c r="B27" s="499" t="s">
        <v>63</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1"/>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row>
    <row r="28" spans="1:136" outlineLevel="1" x14ac:dyDescent="0.25">
      <c r="B28" s="412"/>
      <c r="C28" s="413"/>
      <c r="D28" s="413"/>
      <c r="E28" s="413"/>
      <c r="F28" s="413"/>
      <c r="G28" s="413"/>
      <c r="H28" s="413"/>
      <c r="I28" s="413"/>
      <c r="J28" s="413"/>
      <c r="K28" s="413"/>
      <c r="L28" s="414"/>
      <c r="N28" s="412"/>
      <c r="O28" s="413"/>
      <c r="P28" s="413"/>
      <c r="Q28" s="413"/>
      <c r="R28" s="413"/>
      <c r="S28" s="413"/>
      <c r="T28" s="413"/>
      <c r="U28" s="413"/>
      <c r="V28" s="413"/>
      <c r="W28" s="413"/>
      <c r="X28" s="413"/>
      <c r="Y28" s="413"/>
      <c r="Z28" s="413"/>
      <c r="AA28" s="413"/>
      <c r="AB28" s="413"/>
      <c r="AC28" s="413"/>
      <c r="AD28" s="414"/>
      <c r="AF28" s="412"/>
      <c r="AG28" s="413"/>
      <c r="AH28" s="413"/>
      <c r="AI28" s="413"/>
      <c r="AJ28" s="413"/>
      <c r="AK28" s="413"/>
      <c r="AL28" s="413"/>
      <c r="AM28" s="413"/>
      <c r="AN28" s="413"/>
      <c r="AO28" s="413"/>
      <c r="AP28" s="413"/>
      <c r="AQ28" s="413"/>
      <c r="AR28" s="413"/>
      <c r="AS28" s="413"/>
      <c r="AT28" s="413"/>
      <c r="AU28" s="413"/>
      <c r="AV28" s="414"/>
      <c r="AW28" s="388"/>
      <c r="AX28" s="388"/>
      <c r="AY28" s="388"/>
      <c r="AZ28" s="388"/>
      <c r="BA28" s="388"/>
      <c r="BB28" s="388"/>
      <c r="BC28" s="388"/>
      <c r="BD28" s="342"/>
      <c r="BE28" s="342"/>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row>
    <row r="29" spans="1:136"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289"/>
      <c r="W29" s="289"/>
      <c r="X29" s="289"/>
      <c r="Y29" s="289"/>
      <c r="Z29" s="289"/>
      <c r="AA29" s="289"/>
      <c r="AB29" s="289"/>
      <c r="AC29" s="289"/>
      <c r="AD29" s="419"/>
      <c r="AE29" s="420"/>
      <c r="AF29" s="418" t="s">
        <v>54</v>
      </c>
      <c r="AG29" s="289"/>
      <c r="AH29" s="289"/>
      <c r="AI29" s="289"/>
      <c r="AJ29" s="289"/>
      <c r="AK29" s="289"/>
      <c r="AL29" s="289"/>
      <c r="AM29" s="289"/>
      <c r="AN29" s="289"/>
      <c r="AO29" s="289"/>
      <c r="AP29" s="289"/>
      <c r="AQ29" s="289"/>
      <c r="AR29" s="289"/>
      <c r="AS29" s="289"/>
      <c r="AT29" s="289"/>
      <c r="AU29" s="289"/>
      <c r="AV29" s="419"/>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row>
    <row r="30" spans="1:136" ht="43.5" customHeight="1" outlineLevel="1" x14ac:dyDescent="0.25">
      <c r="A30" s="388"/>
      <c r="B30" s="421" t="s">
        <v>232</v>
      </c>
      <c r="C30" s="425"/>
      <c r="D30" s="425"/>
      <c r="E30" s="425"/>
      <c r="F30" s="425"/>
      <c r="G30" s="422" t="s">
        <v>233</v>
      </c>
      <c r="H30" s="270"/>
      <c r="I30" s="422" t="s">
        <v>234</v>
      </c>
      <c r="J30" s="447"/>
      <c r="K30" s="447"/>
      <c r="L30" s="401"/>
      <c r="M30" s="342"/>
      <c r="N30" s="269" t="s">
        <v>77</v>
      </c>
      <c r="O30" s="270"/>
      <c r="P30" s="422" t="s">
        <v>235</v>
      </c>
      <c r="Q30" s="270"/>
      <c r="R30" s="425"/>
      <c r="S30" s="422" t="s">
        <v>80</v>
      </c>
      <c r="T30" s="270"/>
      <c r="U30" s="422" t="s">
        <v>81</v>
      </c>
      <c r="V30" s="270"/>
      <c r="W30" s="425"/>
      <c r="X30" s="422" t="s">
        <v>236</v>
      </c>
      <c r="Y30" s="270"/>
      <c r="Z30" s="422" t="s">
        <v>237</v>
      </c>
      <c r="AA30" s="270"/>
      <c r="AB30" s="425"/>
      <c r="AC30" s="422" t="s">
        <v>238</v>
      </c>
      <c r="AD30" s="401"/>
      <c r="AE30" s="420"/>
      <c r="AF30" s="269" t="s">
        <v>54</v>
      </c>
      <c r="AG30" s="270"/>
      <c r="AH30" s="422" t="s">
        <v>239</v>
      </c>
      <c r="AI30" s="270"/>
      <c r="AJ30" s="425"/>
      <c r="AK30" s="422" t="s">
        <v>89</v>
      </c>
      <c r="AL30" s="270"/>
      <c r="AM30" s="422" t="s">
        <v>76</v>
      </c>
      <c r="AN30" s="270"/>
      <c r="AO30" s="425"/>
      <c r="AP30" s="422" t="s">
        <v>240</v>
      </c>
      <c r="AQ30" s="270"/>
      <c r="AR30" s="422" t="s">
        <v>241</v>
      </c>
      <c r="AS30" s="270"/>
      <c r="AT30" s="425"/>
      <c r="AU30" s="422" t="s">
        <v>242</v>
      </c>
      <c r="AV30" s="401"/>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row>
    <row r="31" spans="1:136" outlineLevel="1" x14ac:dyDescent="0.25">
      <c r="B31" s="426"/>
      <c r="C31" s="425"/>
      <c r="D31" s="425"/>
      <c r="E31" s="425"/>
      <c r="F31" s="425"/>
      <c r="G31" s="302">
        <f>SUM(G33:G38)</f>
        <v>0</v>
      </c>
      <c r="H31" s="427" t="s">
        <v>1</v>
      </c>
      <c r="I31" s="507"/>
      <c r="J31" s="449" t="s">
        <v>2</v>
      </c>
      <c r="K31" s="302">
        <f>SUM(K33:K38)</f>
        <v>0</v>
      </c>
      <c r="L31" s="428" t="s">
        <v>1</v>
      </c>
      <c r="M31" s="342"/>
      <c r="N31" s="450"/>
      <c r="O31" s="427" t="s">
        <v>0</v>
      </c>
      <c r="P31" s="302">
        <f>SUMPRODUCT('ETAPE 3'!G33:G38,'ETAPE 3'!N33:N38)</f>
        <v>0</v>
      </c>
      <c r="Q31" s="427" t="s">
        <v>6</v>
      </c>
      <c r="R31" s="425"/>
      <c r="S31" s="302">
        <f>'ETAPE 2'!Z31</f>
        <v>73.739460370994934</v>
      </c>
      <c r="T31" s="427" t="s">
        <v>72</v>
      </c>
      <c r="U31" s="302">
        <f>S31*$B$10</f>
        <v>1659.1378583473861</v>
      </c>
      <c r="V31" s="427" t="s">
        <v>6</v>
      </c>
      <c r="W31" s="425"/>
      <c r="X31" s="302">
        <f>P31+U31</f>
        <v>1659.1378583473861</v>
      </c>
      <c r="Y31" s="427" t="s">
        <v>6</v>
      </c>
      <c r="Z31" s="302">
        <f>IF($E$10&lt;&gt;0,X31/$E$10,0)</f>
        <v>335.17936532270426</v>
      </c>
      <c r="AA31" s="427" t="s">
        <v>72</v>
      </c>
      <c r="AB31" s="425"/>
      <c r="AC31" s="302">
        <f>$N$10/100*U31+SUMPRODUCT(K33:K38,N33:N38)</f>
        <v>0</v>
      </c>
      <c r="AD31" s="428" t="s">
        <v>6</v>
      </c>
      <c r="AE31" s="388"/>
      <c r="AF31" s="450"/>
      <c r="AG31" s="427" t="s">
        <v>20</v>
      </c>
      <c r="AH31" s="302">
        <f>SUMPRODUCT(G33:G38,AF33:AF38)</f>
        <v>0</v>
      </c>
      <c r="AI31" s="427" t="s">
        <v>21</v>
      </c>
      <c r="AJ31" s="425"/>
      <c r="AK31" s="302">
        <f>'ETAPE 2'!AR31</f>
        <v>5.916441821247892E-2</v>
      </c>
      <c r="AL31" s="427" t="s">
        <v>73</v>
      </c>
      <c r="AM31" s="448">
        <f>AK31*$B$10</f>
        <v>1.3311994097807758</v>
      </c>
      <c r="AN31" s="427" t="s">
        <v>21</v>
      </c>
      <c r="AO31" s="425"/>
      <c r="AP31" s="302">
        <f>AH31+AM31</f>
        <v>1.3311994097807758</v>
      </c>
      <c r="AQ31" s="427" t="s">
        <v>21</v>
      </c>
      <c r="AR31" s="302">
        <f>IF($E$10&lt;&gt;0,AP31/$E$10,0)</f>
        <v>0.268929173693086</v>
      </c>
      <c r="AS31" s="427" t="s">
        <v>73</v>
      </c>
      <c r="AT31" s="425"/>
      <c r="AU31" s="302">
        <f>$N$10/100*AM31+SUMPRODUCT(K33:K38,AF33:AF38)</f>
        <v>0</v>
      </c>
      <c r="AV31" s="428" t="s">
        <v>21</v>
      </c>
      <c r="AW31" s="388"/>
      <c r="AX31" s="342"/>
      <c r="AY31" s="342"/>
      <c r="AZ31" s="342"/>
      <c r="BA31" s="342"/>
      <c r="BB31" s="342"/>
      <c r="BC31" s="342"/>
      <c r="BD31" s="342"/>
      <c r="BE31" s="342"/>
      <c r="BF31" s="342"/>
      <c r="BG31" s="342"/>
      <c r="BH31" s="342"/>
      <c r="BI31" s="342"/>
      <c r="BJ31" s="342"/>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row>
    <row r="32" spans="1:136" ht="6.75" customHeight="1" outlineLevel="1" x14ac:dyDescent="0.25">
      <c r="A32" s="388"/>
      <c r="B32" s="431"/>
      <c r="C32" s="420"/>
      <c r="D32" s="420"/>
      <c r="E32" s="420"/>
      <c r="F32" s="420"/>
      <c r="G32" s="420"/>
      <c r="H32" s="420"/>
      <c r="I32" s="434"/>
      <c r="J32" s="434"/>
      <c r="K32" s="434"/>
      <c r="L32" s="451"/>
      <c r="M32" s="342"/>
      <c r="N32" s="431"/>
      <c r="O32" s="420"/>
      <c r="P32" s="420"/>
      <c r="Q32" s="420"/>
      <c r="R32" s="420"/>
      <c r="S32" s="420"/>
      <c r="T32" s="420"/>
      <c r="U32" s="420"/>
      <c r="V32" s="420"/>
      <c r="W32" s="420"/>
      <c r="X32" s="420"/>
      <c r="Y32" s="420"/>
      <c r="Z32" s="433"/>
      <c r="AA32" s="433"/>
      <c r="AB32" s="433"/>
      <c r="AC32" s="420"/>
      <c r="AD32" s="432"/>
      <c r="AE32" s="388"/>
      <c r="AF32" s="431"/>
      <c r="AG32" s="420"/>
      <c r="AH32" s="420"/>
      <c r="AI32" s="420"/>
      <c r="AJ32" s="420"/>
      <c r="AK32" s="420"/>
      <c r="AL32" s="420"/>
      <c r="AM32" s="420"/>
      <c r="AN32" s="420"/>
      <c r="AO32" s="420"/>
      <c r="AP32" s="420"/>
      <c r="AQ32" s="420"/>
      <c r="AR32" s="420"/>
      <c r="AS32" s="420"/>
      <c r="AT32" s="420"/>
      <c r="AU32" s="420"/>
      <c r="AV32" s="43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row>
    <row r="33" spans="1:136" outlineLevel="1" x14ac:dyDescent="0.25">
      <c r="B33" s="435"/>
      <c r="C33" s="425"/>
      <c r="D33" s="425"/>
      <c r="E33" s="425"/>
      <c r="F33" s="425"/>
      <c r="G33" s="436"/>
      <c r="H33" s="427" t="s">
        <v>1</v>
      </c>
      <c r="I33" s="452"/>
      <c r="J33" s="449" t="s">
        <v>2</v>
      </c>
      <c r="K33" s="302">
        <f>G33*I33/100</f>
        <v>0</v>
      </c>
      <c r="L33" s="428" t="s">
        <v>1</v>
      </c>
      <c r="M33" s="342"/>
      <c r="N33" s="437" t="str">
        <f>IF(B33&lt;&gt;0,VLOOKUP(B33,GENERALITES!$B$36:$D$41,3,FALSE),"")</f>
        <v/>
      </c>
      <c r="O33" s="427" t="s">
        <v>0</v>
      </c>
      <c r="P33" s="438"/>
      <c r="Q33" s="438"/>
      <c r="R33" s="438"/>
      <c r="S33" s="438"/>
      <c r="T33" s="438"/>
      <c r="U33" s="438"/>
      <c r="V33" s="438"/>
      <c r="W33" s="438"/>
      <c r="X33" s="438"/>
      <c r="Y33" s="438"/>
      <c r="Z33" s="425"/>
      <c r="AA33" s="425"/>
      <c r="AB33" s="425"/>
      <c r="AC33" s="438"/>
      <c r="AD33" s="439"/>
      <c r="AE33" s="388"/>
      <c r="AF33" s="437" t="str">
        <f>IF(B33&lt;&gt;0,VLOOKUP(B33,GENERALITES!$B$36:$N$41,12,FALSE),"")</f>
        <v/>
      </c>
      <c r="AG33" s="427" t="s">
        <v>20</v>
      </c>
      <c r="AH33" s="438"/>
      <c r="AI33" s="438"/>
      <c r="AJ33" s="438"/>
      <c r="AK33" s="438"/>
      <c r="AL33" s="438"/>
      <c r="AM33" s="438"/>
      <c r="AN33" s="438"/>
      <c r="AO33" s="438"/>
      <c r="AP33" s="438"/>
      <c r="AQ33" s="438"/>
      <c r="AR33" s="425"/>
      <c r="AS33" s="425"/>
      <c r="AT33" s="425"/>
      <c r="AU33" s="438"/>
      <c r="AV33" s="439"/>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row>
    <row r="34" spans="1:136" outlineLevel="1" x14ac:dyDescent="0.25">
      <c r="B34" s="435"/>
      <c r="C34" s="425"/>
      <c r="D34" s="425"/>
      <c r="E34" s="425"/>
      <c r="F34" s="425"/>
      <c r="G34" s="436"/>
      <c r="H34" s="427" t="s">
        <v>1</v>
      </c>
      <c r="I34" s="452"/>
      <c r="J34" s="449" t="s">
        <v>2</v>
      </c>
      <c r="K34" s="302">
        <f>G34*I34/100</f>
        <v>0</v>
      </c>
      <c r="L34" s="428" t="s">
        <v>1</v>
      </c>
      <c r="M34" s="342"/>
      <c r="N34" s="437" t="str">
        <f>IF(B34&lt;&gt;0,VLOOKUP(B34,GENERALITES!$B$36:$D$41,3,FALSE),"")</f>
        <v/>
      </c>
      <c r="O34" s="427" t="s">
        <v>0</v>
      </c>
      <c r="P34" s="438"/>
      <c r="Q34" s="438"/>
      <c r="R34" s="438"/>
      <c r="S34" s="438"/>
      <c r="T34" s="438"/>
      <c r="U34" s="438"/>
      <c r="V34" s="438"/>
      <c r="W34" s="438"/>
      <c r="X34" s="438"/>
      <c r="Y34" s="438"/>
      <c r="Z34" s="425"/>
      <c r="AA34" s="425"/>
      <c r="AB34" s="425"/>
      <c r="AC34" s="438"/>
      <c r="AD34" s="439"/>
      <c r="AE34" s="388"/>
      <c r="AF34" s="437" t="str">
        <f>IF(B34&lt;&gt;0,VLOOKUP(B34,GENERALITES!$B$36:$N$41,12,FALSE),"")</f>
        <v/>
      </c>
      <c r="AG34" s="427" t="s">
        <v>20</v>
      </c>
      <c r="AH34" s="438"/>
      <c r="AI34" s="438"/>
      <c r="AJ34" s="438"/>
      <c r="AK34" s="438"/>
      <c r="AL34" s="438"/>
      <c r="AM34" s="438"/>
      <c r="AN34" s="438"/>
      <c r="AO34" s="438"/>
      <c r="AP34" s="438"/>
      <c r="AQ34" s="438"/>
      <c r="AR34" s="425"/>
      <c r="AS34" s="425"/>
      <c r="AT34" s="425"/>
      <c r="AU34" s="438"/>
      <c r="AV34" s="439"/>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row>
    <row r="35" spans="1:136" outlineLevel="1" x14ac:dyDescent="0.25">
      <c r="B35" s="435"/>
      <c r="C35" s="425"/>
      <c r="D35" s="425"/>
      <c r="E35" s="425"/>
      <c r="F35" s="425"/>
      <c r="G35" s="436"/>
      <c r="H35" s="427" t="s">
        <v>1</v>
      </c>
      <c r="I35" s="452"/>
      <c r="J35" s="449" t="s">
        <v>2</v>
      </c>
      <c r="K35" s="302">
        <f t="shared" ref="K35:K38" si="1">G35*I35/100</f>
        <v>0</v>
      </c>
      <c r="L35" s="428" t="s">
        <v>1</v>
      </c>
      <c r="M35" s="342"/>
      <c r="N35" s="437" t="str">
        <f>IF(B35&lt;&gt;0,VLOOKUP(B35,GENERALITES!$B$36:$D$41,3,FALSE),"")</f>
        <v/>
      </c>
      <c r="O35" s="427" t="s">
        <v>0</v>
      </c>
      <c r="P35" s="438"/>
      <c r="Q35" s="438"/>
      <c r="R35" s="438"/>
      <c r="S35" s="438"/>
      <c r="T35" s="438"/>
      <c r="U35" s="438"/>
      <c r="V35" s="438"/>
      <c r="W35" s="438"/>
      <c r="X35" s="438"/>
      <c r="Y35" s="438"/>
      <c r="Z35" s="425"/>
      <c r="AA35" s="425"/>
      <c r="AB35" s="425"/>
      <c r="AC35" s="438"/>
      <c r="AD35" s="439"/>
      <c r="AE35" s="388"/>
      <c r="AF35" s="437" t="str">
        <f>IF(B35&lt;&gt;0,VLOOKUP(B35,GENERALITES!$B$36:$N$41,12,FALSE),"")</f>
        <v/>
      </c>
      <c r="AG35" s="427" t="s">
        <v>20</v>
      </c>
      <c r="AH35" s="438"/>
      <c r="AI35" s="438"/>
      <c r="AJ35" s="438"/>
      <c r="AK35" s="438"/>
      <c r="AL35" s="438"/>
      <c r="AM35" s="438"/>
      <c r="AN35" s="438"/>
      <c r="AO35" s="438"/>
      <c r="AP35" s="438"/>
      <c r="AQ35" s="438"/>
      <c r="AR35" s="425"/>
      <c r="AS35" s="425"/>
      <c r="AT35" s="425"/>
      <c r="AU35" s="438"/>
      <c r="AV35" s="439"/>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row>
    <row r="36" spans="1:136"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38"/>
      <c r="S36" s="434"/>
      <c r="T36" s="438"/>
      <c r="U36" s="438"/>
      <c r="V36" s="438"/>
      <c r="W36" s="438"/>
      <c r="X36" s="438"/>
      <c r="Y36" s="438"/>
      <c r="Z36" s="425"/>
      <c r="AA36" s="425"/>
      <c r="AB36" s="425"/>
      <c r="AC36" s="438"/>
      <c r="AD36" s="439"/>
      <c r="AE36" s="388"/>
      <c r="AF36" s="437" t="str">
        <f>IF(B36&lt;&gt;0,VLOOKUP(B36,GENERALITES!$B$36:$N$41,12,FALSE),"")</f>
        <v/>
      </c>
      <c r="AG36" s="427" t="s">
        <v>20</v>
      </c>
      <c r="AH36" s="438"/>
      <c r="AI36" s="438"/>
      <c r="AJ36" s="438"/>
      <c r="AK36" s="438"/>
      <c r="AL36" s="438"/>
      <c r="AM36" s="438"/>
      <c r="AN36" s="438"/>
      <c r="AO36" s="438"/>
      <c r="AP36" s="438"/>
      <c r="AQ36" s="438"/>
      <c r="AR36" s="425"/>
      <c r="AS36" s="425"/>
      <c r="AT36" s="425"/>
      <c r="AU36" s="438"/>
      <c r="AV36" s="439"/>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row>
    <row r="37" spans="1:136"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38"/>
      <c r="S37" s="438"/>
      <c r="T37" s="438"/>
      <c r="U37" s="438"/>
      <c r="V37" s="438"/>
      <c r="W37" s="438"/>
      <c r="X37" s="438"/>
      <c r="Y37" s="438"/>
      <c r="Z37" s="425"/>
      <c r="AA37" s="425"/>
      <c r="AB37" s="425"/>
      <c r="AC37" s="438"/>
      <c r="AD37" s="439"/>
      <c r="AE37" s="388"/>
      <c r="AF37" s="437" t="str">
        <f>IF(B37&lt;&gt;0,VLOOKUP(B37,GENERALITES!$B$36:$N$41,12,FALSE),"")</f>
        <v/>
      </c>
      <c r="AG37" s="427" t="s">
        <v>20</v>
      </c>
      <c r="AH37" s="438"/>
      <c r="AI37" s="438"/>
      <c r="AJ37" s="438"/>
      <c r="AK37" s="438"/>
      <c r="AL37" s="438"/>
      <c r="AM37" s="438"/>
      <c r="AN37" s="438"/>
      <c r="AO37" s="438"/>
      <c r="AP37" s="438"/>
      <c r="AQ37" s="438"/>
      <c r="AR37" s="425"/>
      <c r="AS37" s="425"/>
      <c r="AT37" s="425"/>
      <c r="AU37" s="438"/>
      <c r="AV37" s="439"/>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row>
    <row r="38" spans="1:136"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38"/>
      <c r="S38" s="438"/>
      <c r="T38" s="438"/>
      <c r="U38" s="438"/>
      <c r="V38" s="438"/>
      <c r="W38" s="438"/>
      <c r="X38" s="438"/>
      <c r="Y38" s="438"/>
      <c r="Z38" s="425"/>
      <c r="AA38" s="425"/>
      <c r="AB38" s="425"/>
      <c r="AC38" s="438"/>
      <c r="AD38" s="439"/>
      <c r="AE38" s="388"/>
      <c r="AF38" s="437" t="str">
        <f>IF(B38&lt;&gt;0,VLOOKUP(B38,GENERALITES!$B$36:$N$41,12,FALSE),"")</f>
        <v/>
      </c>
      <c r="AG38" s="427" t="s">
        <v>20</v>
      </c>
      <c r="AH38" s="420"/>
      <c r="AI38" s="420"/>
      <c r="AJ38" s="420"/>
      <c r="AK38" s="420"/>
      <c r="AL38" s="420"/>
      <c r="AM38" s="420"/>
      <c r="AN38" s="420"/>
      <c r="AO38" s="420"/>
      <c r="AP38" s="420"/>
      <c r="AQ38" s="420"/>
      <c r="AR38" s="425"/>
      <c r="AS38" s="425"/>
      <c r="AT38" s="425"/>
      <c r="AU38" s="420"/>
      <c r="AV38" s="432"/>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row>
    <row r="39" spans="1:136" ht="15.75" thickBot="1" x14ac:dyDescent="0.3">
      <c r="A39" s="440"/>
      <c r="B39" s="477"/>
      <c r="C39" s="478"/>
      <c r="D39" s="478"/>
      <c r="E39" s="478"/>
      <c r="F39" s="478"/>
      <c r="G39" s="478"/>
      <c r="H39" s="478"/>
      <c r="I39" s="478"/>
      <c r="J39" s="478"/>
      <c r="K39" s="478"/>
      <c r="L39" s="479"/>
      <c r="M39" s="440"/>
      <c r="N39" s="477"/>
      <c r="O39" s="478"/>
      <c r="P39" s="478"/>
      <c r="Q39" s="478"/>
      <c r="R39" s="478"/>
      <c r="S39" s="478"/>
      <c r="T39" s="478"/>
      <c r="U39" s="478"/>
      <c r="V39" s="478"/>
      <c r="W39" s="478"/>
      <c r="X39" s="478"/>
      <c r="Y39" s="478"/>
      <c r="Z39" s="478"/>
      <c r="AA39" s="478"/>
      <c r="AB39" s="478"/>
      <c r="AC39" s="478"/>
      <c r="AD39" s="479"/>
      <c r="AE39" s="440"/>
      <c r="AF39" s="444"/>
      <c r="AG39" s="445"/>
      <c r="AH39" s="445"/>
      <c r="AI39" s="445"/>
      <c r="AJ39" s="445"/>
      <c r="AK39" s="445"/>
      <c r="AL39" s="445"/>
      <c r="AM39" s="445"/>
      <c r="AN39" s="445"/>
      <c r="AO39" s="445"/>
      <c r="AP39" s="445"/>
      <c r="AQ39" s="445"/>
      <c r="AR39" s="445"/>
      <c r="AS39" s="445"/>
      <c r="AT39" s="445"/>
      <c r="AU39" s="445"/>
      <c r="AV39" s="446"/>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row>
    <row r="40" spans="1:136" ht="30" customHeight="1" thickBot="1" x14ac:dyDescent="0.3">
      <c r="A40" s="388"/>
      <c r="B40" s="499" t="s">
        <v>62</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1"/>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row>
    <row r="41" spans="1:136"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row>
    <row r="42" spans="1:136" ht="21.75" customHeight="1" thickBot="1" x14ac:dyDescent="0.3">
      <c r="A42" s="440"/>
      <c r="B42" s="534" t="s">
        <v>27</v>
      </c>
      <c r="C42" s="535"/>
      <c r="D42" s="535"/>
      <c r="E42" s="535"/>
      <c r="F42" s="535"/>
      <c r="G42" s="535"/>
      <c r="H42" s="536"/>
      <c r="I42" s="456"/>
      <c r="J42" s="456"/>
      <c r="K42" s="456"/>
      <c r="L42" s="456"/>
      <c r="M42" s="456"/>
      <c r="N42" s="342"/>
      <c r="O42" s="342"/>
      <c r="P42" s="342"/>
      <c r="Q42" s="342"/>
      <c r="R42" s="342"/>
      <c r="S42" s="342"/>
      <c r="T42" s="342"/>
      <c r="U42" s="342"/>
      <c r="V42" s="342"/>
      <c r="W42" s="342"/>
      <c r="X42" s="342"/>
      <c r="Y42" s="342"/>
      <c r="Z42" s="342"/>
      <c r="AA42" s="342"/>
      <c r="AB42" s="342"/>
      <c r="AC42" s="342"/>
      <c r="AD42" s="342"/>
      <c r="AE42" s="440"/>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row>
    <row r="43" spans="1:136"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8"/>
      <c r="W43" s="458"/>
      <c r="X43" s="458"/>
      <c r="Y43" s="458"/>
      <c r="Z43" s="458"/>
      <c r="AA43" s="458"/>
      <c r="AB43" s="458"/>
      <c r="AC43" s="458"/>
      <c r="AD43" s="459"/>
      <c r="AE43" s="440"/>
      <c r="AF43" s="460"/>
      <c r="AG43" s="461"/>
      <c r="AH43" s="461"/>
      <c r="AI43" s="461"/>
      <c r="AJ43" s="461"/>
      <c r="AK43" s="461"/>
      <c r="AL43" s="461"/>
      <c r="AM43" s="461"/>
      <c r="AN43" s="461"/>
      <c r="AO43" s="461"/>
      <c r="AP43" s="461"/>
      <c r="AQ43" s="461"/>
      <c r="AR43" s="461"/>
      <c r="AS43" s="461"/>
      <c r="AT43" s="461"/>
      <c r="AU43" s="461"/>
      <c r="AV43" s="462"/>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row>
    <row r="44" spans="1:136"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289"/>
      <c r="W44" s="289"/>
      <c r="X44" s="289"/>
      <c r="Y44" s="289"/>
      <c r="Z44" s="289"/>
      <c r="AA44" s="289"/>
      <c r="AB44" s="289"/>
      <c r="AC44" s="289"/>
      <c r="AD44" s="419"/>
      <c r="AE44" s="388"/>
      <c r="AF44" s="418" t="s">
        <v>41</v>
      </c>
      <c r="AG44" s="289"/>
      <c r="AH44" s="289"/>
      <c r="AI44" s="289"/>
      <c r="AJ44" s="289"/>
      <c r="AK44" s="289"/>
      <c r="AL44" s="289"/>
      <c r="AM44" s="289"/>
      <c r="AN44" s="289"/>
      <c r="AO44" s="289"/>
      <c r="AP44" s="289"/>
      <c r="AQ44" s="289"/>
      <c r="AR44" s="289"/>
      <c r="AS44" s="289"/>
      <c r="AT44" s="289"/>
      <c r="AU44" s="289"/>
      <c r="AV44" s="419"/>
      <c r="AX44" s="342"/>
      <c r="AY44" s="342"/>
      <c r="AZ44" s="342"/>
      <c r="BA44" s="342"/>
      <c r="BB44" s="342"/>
      <c r="BC44" s="342"/>
      <c r="BD44" s="342"/>
      <c r="BE44" s="342"/>
      <c r="BF44" s="342"/>
      <c r="BG44" s="342"/>
      <c r="BH44" s="342"/>
      <c r="BI44" s="342"/>
      <c r="BJ44" s="342"/>
    </row>
    <row r="45" spans="1:136" ht="43.5" customHeight="1" outlineLevel="1" x14ac:dyDescent="0.25">
      <c r="A45" s="463"/>
      <c r="B45" s="464" t="s">
        <v>17</v>
      </c>
      <c r="C45" s="425"/>
      <c r="D45" s="425"/>
      <c r="E45" s="425"/>
      <c r="F45" s="425"/>
      <c r="G45" s="422" t="s">
        <v>243</v>
      </c>
      <c r="H45" s="270"/>
      <c r="I45" s="422" t="s">
        <v>244</v>
      </c>
      <c r="J45" s="447"/>
      <c r="K45" s="447"/>
      <c r="L45" s="401"/>
      <c r="M45" s="420"/>
      <c r="N45" s="269" t="s">
        <v>78</v>
      </c>
      <c r="O45" s="270"/>
      <c r="P45" s="422" t="s">
        <v>245</v>
      </c>
      <c r="Q45" s="270"/>
      <c r="R45" s="425"/>
      <c r="S45" s="422" t="s">
        <v>79</v>
      </c>
      <c r="T45" s="270"/>
      <c r="U45" s="422" t="s">
        <v>82</v>
      </c>
      <c r="V45" s="270"/>
      <c r="W45" s="425"/>
      <c r="X45" s="422" t="s">
        <v>246</v>
      </c>
      <c r="Y45" s="270"/>
      <c r="Z45" s="422" t="s">
        <v>247</v>
      </c>
      <c r="AA45" s="270"/>
      <c r="AB45" s="425"/>
      <c r="AC45" s="422" t="s">
        <v>248</v>
      </c>
      <c r="AD45" s="401"/>
      <c r="AE45" s="388"/>
      <c r="AF45" s="269" t="s">
        <v>41</v>
      </c>
      <c r="AG45" s="270"/>
      <c r="AH45" s="422" t="s">
        <v>249</v>
      </c>
      <c r="AI45" s="270"/>
      <c r="AJ45" s="425"/>
      <c r="AK45" s="422" t="s">
        <v>87</v>
      </c>
      <c r="AL45" s="270"/>
      <c r="AM45" s="422" t="s">
        <v>83</v>
      </c>
      <c r="AN45" s="270"/>
      <c r="AO45" s="425"/>
      <c r="AP45" s="422" t="s">
        <v>250</v>
      </c>
      <c r="AQ45" s="270"/>
      <c r="AR45" s="422" t="s">
        <v>251</v>
      </c>
      <c r="AS45" s="270"/>
      <c r="AT45" s="425"/>
      <c r="AU45" s="422" t="s">
        <v>252</v>
      </c>
      <c r="AV45" s="401"/>
      <c r="AX45" s="342"/>
      <c r="AY45" s="342"/>
      <c r="AZ45" s="342"/>
      <c r="BA45" s="342"/>
      <c r="BB45" s="342"/>
      <c r="BC45" s="342"/>
      <c r="BD45" s="342"/>
      <c r="BE45" s="342"/>
      <c r="BF45" s="342"/>
      <c r="BG45" s="342"/>
      <c r="BH45" s="342"/>
      <c r="BI45" s="342"/>
      <c r="BJ45" s="342"/>
    </row>
    <row r="46" spans="1:136" ht="15" customHeight="1" outlineLevel="1" x14ac:dyDescent="0.25">
      <c r="A46" s="463"/>
      <c r="B46" s="435" t="s">
        <v>18</v>
      </c>
      <c r="C46" s="425"/>
      <c r="D46" s="425"/>
      <c r="E46" s="425"/>
      <c r="F46" s="425"/>
      <c r="G46" s="469">
        <v>1200</v>
      </c>
      <c r="H46" s="427" t="str">
        <f>GENERALITES!$D$13</f>
        <v>kWh</v>
      </c>
      <c r="I46" s="485">
        <f>$N$10</f>
        <v>0</v>
      </c>
      <c r="J46" s="449" t="s">
        <v>2</v>
      </c>
      <c r="K46" s="302">
        <f>IF(B46=Annexes!$B$3,G46*I46/100,SUMPRODUCT(G49:G52,I49:I52/100))</f>
        <v>0</v>
      </c>
      <c r="L46" s="428" t="str">
        <f>GENERALITES!$D$13</f>
        <v>kWh</v>
      </c>
      <c r="M46" s="420"/>
      <c r="N46" s="437">
        <f>GENERALITES!$D$46</f>
        <v>0.15</v>
      </c>
      <c r="O46" s="427" t="str">
        <f>GENERALITES!$E$46</f>
        <v>€ / kWh</v>
      </c>
      <c r="P46" s="302">
        <f>IF(B46=Annexes!$B$3,G46*N46,SUM(G49:G52)*N46)</f>
        <v>180</v>
      </c>
      <c r="Q46" s="427" t="s">
        <v>6</v>
      </c>
      <c r="R46" s="425"/>
      <c r="S46" s="302">
        <f>'ETAPE 2'!Z46</f>
        <v>3.9147455415398</v>
      </c>
      <c r="T46" s="427" t="s">
        <v>72</v>
      </c>
      <c r="U46" s="448">
        <f>S46*$B$10</f>
        <v>88.081774684645495</v>
      </c>
      <c r="V46" s="427" t="s">
        <v>6</v>
      </c>
      <c r="W46" s="425"/>
      <c r="X46" s="302">
        <f>P46+U46</f>
        <v>268.0817746846455</v>
      </c>
      <c r="Y46" s="427" t="s">
        <v>6</v>
      </c>
      <c r="Z46" s="302">
        <f>IF($E$10&lt;&gt;0,X46/$E$10,0)</f>
        <v>54.157934279726362</v>
      </c>
      <c r="AA46" s="427" t="s">
        <v>72</v>
      </c>
      <c r="AB46" s="425"/>
      <c r="AC46" s="302">
        <f>$N$10/100*U46+IF(B46=Annexes!$B$3,I46/100*P46,IF(SUM(G49:G52)&gt;0,K46/SUM(G49:G52)*P46,0))</f>
        <v>0</v>
      </c>
      <c r="AD46" s="428" t="s">
        <v>6</v>
      </c>
      <c r="AE46" s="388"/>
      <c r="AF46" s="437">
        <f>GENERALITES!$M$46</f>
        <v>7.85E-4</v>
      </c>
      <c r="AG46" s="427" t="str">
        <f>GENERALITES!$N$46</f>
        <v>TCO2 / kWh</v>
      </c>
      <c r="AH46" s="302">
        <f>IF(B46=Annexes!$B$3,G46*AF46,SUM(G49:G52)*AF46)</f>
        <v>0.94199999999999995</v>
      </c>
      <c r="AI46" s="427" t="s">
        <v>21</v>
      </c>
      <c r="AJ46" s="425"/>
      <c r="AK46" s="302">
        <f>'ETAPE 2'!AR46</f>
        <v>2.0487168334058288E-2</v>
      </c>
      <c r="AL46" s="427" t="s">
        <v>73</v>
      </c>
      <c r="AM46" s="448">
        <f>AK46*$B$10</f>
        <v>0.46096128751631149</v>
      </c>
      <c r="AN46" s="427" t="s">
        <v>21</v>
      </c>
      <c r="AO46" s="425"/>
      <c r="AP46" s="302">
        <f>AH46+AM46</f>
        <v>1.4029612875163116</v>
      </c>
      <c r="AQ46" s="427" t="s">
        <v>21</v>
      </c>
      <c r="AR46" s="302">
        <f>IF($E$10&lt;&gt;0,AP46/$E$10,0)</f>
        <v>0.28342652273056795</v>
      </c>
      <c r="AS46" s="427" t="s">
        <v>73</v>
      </c>
      <c r="AT46" s="425"/>
      <c r="AU46" s="302">
        <f>$N$10/100*AM46+IF(B46=Annexes!$B$3,I46/100*AH46,IF(SUM(G49:G52)&gt;0,K46/SUM(G49:G52)*AH46,0))</f>
        <v>0</v>
      </c>
      <c r="AV46" s="428" t="s">
        <v>21</v>
      </c>
      <c r="AX46" s="342"/>
      <c r="AY46" s="342"/>
      <c r="AZ46" s="342"/>
      <c r="BA46" s="342"/>
      <c r="BB46" s="342"/>
      <c r="BC46" s="342"/>
      <c r="BD46" s="342"/>
      <c r="BE46" s="342"/>
      <c r="BF46" s="342"/>
      <c r="BG46" s="342"/>
      <c r="BH46" s="342"/>
      <c r="BI46" s="342"/>
      <c r="BJ46" s="342"/>
    </row>
    <row r="47" spans="1:136"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20"/>
      <c r="W47" s="420"/>
      <c r="X47" s="420"/>
      <c r="Y47" s="420"/>
      <c r="Z47" s="420"/>
      <c r="AA47" s="420"/>
      <c r="AB47" s="420"/>
      <c r="AC47" s="420"/>
      <c r="AD47" s="432"/>
      <c r="AE47" s="388"/>
      <c r="AF47" s="431"/>
      <c r="AG47" s="420"/>
      <c r="AH47" s="420"/>
      <c r="AI47" s="420"/>
      <c r="AJ47" s="420"/>
      <c r="AK47" s="420"/>
      <c r="AL47" s="420"/>
      <c r="AM47" s="420"/>
      <c r="AN47" s="420"/>
      <c r="AO47" s="420"/>
      <c r="AP47" s="420"/>
      <c r="AQ47" s="420"/>
      <c r="AR47" s="420"/>
      <c r="AS47" s="420"/>
      <c r="AT47" s="420"/>
      <c r="AU47" s="420"/>
      <c r="AV47" s="43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row>
    <row r="48" spans="1:136" ht="15" customHeight="1" outlineLevel="1" x14ac:dyDescent="0.25">
      <c r="A48" s="463"/>
      <c r="B48" s="464" t="s">
        <v>7</v>
      </c>
      <c r="C48" s="425"/>
      <c r="D48" s="425"/>
      <c r="E48" s="425"/>
      <c r="F48" s="425"/>
      <c r="G48" s="425"/>
      <c r="H48" s="425"/>
      <c r="I48" s="434"/>
      <c r="J48" s="434"/>
      <c r="K48" s="425"/>
      <c r="L48" s="470"/>
      <c r="M48" s="420"/>
      <c r="N48" s="471"/>
      <c r="O48" s="425"/>
      <c r="P48" s="425"/>
      <c r="Q48" s="425"/>
      <c r="R48" s="425"/>
      <c r="S48" s="425"/>
      <c r="T48" s="425"/>
      <c r="U48" s="425"/>
      <c r="V48" s="425"/>
      <c r="W48" s="425"/>
      <c r="X48" s="425"/>
      <c r="Y48" s="425"/>
      <c r="Z48" s="433"/>
      <c r="AA48" s="433"/>
      <c r="AB48" s="433"/>
      <c r="AC48" s="420"/>
      <c r="AD48" s="432"/>
      <c r="AE48" s="388"/>
      <c r="AF48" s="431"/>
      <c r="AG48" s="420"/>
      <c r="AH48" s="420"/>
      <c r="AI48" s="420"/>
      <c r="AJ48" s="420"/>
      <c r="AK48" s="420"/>
      <c r="AL48" s="420"/>
      <c r="AM48" s="420"/>
      <c r="AN48" s="420"/>
      <c r="AO48" s="420"/>
      <c r="AP48" s="420"/>
      <c r="AQ48" s="420"/>
      <c r="AR48" s="420"/>
      <c r="AS48" s="420"/>
      <c r="AT48" s="420"/>
      <c r="AU48" s="420"/>
      <c r="AV48" s="432"/>
    </row>
    <row r="49" spans="1:136" outlineLevel="1" x14ac:dyDescent="0.25">
      <c r="A49" s="463"/>
      <c r="B49" s="472"/>
      <c r="C49" s="425"/>
      <c r="D49" s="425"/>
      <c r="E49" s="425"/>
      <c r="F49" s="425"/>
      <c r="G49" s="473"/>
      <c r="H49" s="427" t="str">
        <f>GENERALITES!$D$13</f>
        <v>kWh</v>
      </c>
      <c r="I49" s="436"/>
      <c r="J49" s="430" t="s">
        <v>2</v>
      </c>
      <c r="K49" s="425"/>
      <c r="L49" s="470"/>
      <c r="M49" s="420"/>
      <c r="N49" s="471"/>
      <c r="O49" s="425"/>
      <c r="P49" s="425"/>
      <c r="Q49" s="425"/>
      <c r="R49" s="425"/>
      <c r="S49" s="425"/>
      <c r="T49" s="425"/>
      <c r="U49" s="425"/>
      <c r="V49" s="425"/>
      <c r="W49" s="425"/>
      <c r="X49" s="425"/>
      <c r="Y49" s="425"/>
      <c r="Z49" s="475"/>
      <c r="AA49" s="475"/>
      <c r="AB49" s="475"/>
      <c r="AC49" s="420"/>
      <c r="AD49" s="432"/>
      <c r="AE49" s="388"/>
      <c r="AF49" s="431"/>
      <c r="AG49" s="420"/>
      <c r="AH49" s="420"/>
      <c r="AI49" s="420"/>
      <c r="AJ49" s="420"/>
      <c r="AK49" s="420"/>
      <c r="AL49" s="420"/>
      <c r="AM49" s="420"/>
      <c r="AN49" s="420"/>
      <c r="AO49" s="420"/>
      <c r="AP49" s="420"/>
      <c r="AQ49" s="420"/>
      <c r="AR49" s="420"/>
      <c r="AS49" s="420"/>
      <c r="AT49" s="420"/>
      <c r="AU49" s="420"/>
      <c r="AV49" s="432"/>
    </row>
    <row r="50" spans="1:136" outlineLevel="1" x14ac:dyDescent="0.25">
      <c r="A50" s="463"/>
      <c r="B50" s="472"/>
      <c r="C50" s="425"/>
      <c r="D50" s="425"/>
      <c r="E50" s="425"/>
      <c r="F50" s="425"/>
      <c r="G50" s="473"/>
      <c r="H50" s="427" t="str">
        <f>GENERALITES!$D$13</f>
        <v>kWh</v>
      </c>
      <c r="I50" s="436"/>
      <c r="J50" s="430" t="s">
        <v>2</v>
      </c>
      <c r="K50" s="425"/>
      <c r="L50" s="470"/>
      <c r="M50" s="420"/>
      <c r="N50" s="471"/>
      <c r="O50" s="425"/>
      <c r="P50" s="425"/>
      <c r="Q50" s="425"/>
      <c r="R50" s="425"/>
      <c r="S50" s="425"/>
      <c r="T50" s="425"/>
      <c r="U50" s="425"/>
      <c r="V50" s="425"/>
      <c r="W50" s="425"/>
      <c r="X50" s="425"/>
      <c r="Y50" s="425"/>
      <c r="Z50" s="433"/>
      <c r="AA50" s="433"/>
      <c r="AB50" s="433"/>
      <c r="AC50" s="420"/>
      <c r="AD50" s="432"/>
      <c r="AE50" s="388"/>
      <c r="AF50" s="431"/>
      <c r="AG50" s="420"/>
      <c r="AH50" s="420"/>
      <c r="AI50" s="420"/>
      <c r="AJ50" s="420"/>
      <c r="AK50" s="420"/>
      <c r="AL50" s="420"/>
      <c r="AM50" s="420"/>
      <c r="AN50" s="420"/>
      <c r="AO50" s="420"/>
      <c r="AP50" s="420"/>
      <c r="AQ50" s="420"/>
      <c r="AR50" s="420"/>
      <c r="AS50" s="420"/>
      <c r="AT50" s="420"/>
      <c r="AU50" s="420"/>
      <c r="AV50" s="432"/>
    </row>
    <row r="51" spans="1:136" outlineLevel="1" x14ac:dyDescent="0.25">
      <c r="A51" s="463"/>
      <c r="B51" s="472"/>
      <c r="C51" s="425"/>
      <c r="D51" s="425"/>
      <c r="E51" s="425"/>
      <c r="F51" s="425"/>
      <c r="G51" s="473"/>
      <c r="H51" s="427" t="str">
        <f>GENERALITES!$D$13</f>
        <v>kWh</v>
      </c>
      <c r="I51" s="436"/>
      <c r="J51" s="430" t="s">
        <v>2</v>
      </c>
      <c r="K51" s="425"/>
      <c r="L51" s="470"/>
      <c r="M51" s="420"/>
      <c r="N51" s="471"/>
      <c r="O51" s="425"/>
      <c r="P51" s="425"/>
      <c r="Q51" s="425"/>
      <c r="R51" s="425"/>
      <c r="S51" s="425"/>
      <c r="T51" s="425"/>
      <c r="U51" s="425"/>
      <c r="V51" s="425"/>
      <c r="W51" s="425"/>
      <c r="X51" s="425"/>
      <c r="Y51" s="425"/>
      <c r="Z51" s="433"/>
      <c r="AA51" s="433"/>
      <c r="AB51" s="433"/>
      <c r="AC51" s="420"/>
      <c r="AD51" s="439"/>
      <c r="AE51" s="476"/>
      <c r="AF51" s="431"/>
      <c r="AG51" s="420"/>
      <c r="AH51" s="420"/>
      <c r="AI51" s="420"/>
      <c r="AJ51" s="420"/>
      <c r="AK51" s="420"/>
      <c r="AL51" s="420"/>
      <c r="AM51" s="420"/>
      <c r="AN51" s="420"/>
      <c r="AO51" s="420"/>
      <c r="AP51" s="420"/>
      <c r="AQ51" s="420"/>
      <c r="AR51" s="420"/>
      <c r="AS51" s="420"/>
      <c r="AT51" s="420"/>
      <c r="AU51" s="420"/>
      <c r="AV51" s="432"/>
    </row>
    <row r="52" spans="1:136" outlineLevel="1" x14ac:dyDescent="0.25">
      <c r="B52" s="472"/>
      <c r="C52" s="425"/>
      <c r="D52" s="425"/>
      <c r="E52" s="425"/>
      <c r="F52" s="425"/>
      <c r="G52" s="473"/>
      <c r="H52" s="427" t="str">
        <f>GENERALITES!$D$13</f>
        <v>kWh</v>
      </c>
      <c r="I52" s="436"/>
      <c r="J52" s="430" t="s">
        <v>2</v>
      </c>
      <c r="K52" s="425"/>
      <c r="L52" s="470"/>
      <c r="M52" s="420"/>
      <c r="N52" s="471"/>
      <c r="O52" s="425"/>
      <c r="P52" s="425"/>
      <c r="Q52" s="425"/>
      <c r="R52" s="425"/>
      <c r="S52" s="425"/>
      <c r="T52" s="425"/>
      <c r="U52" s="425"/>
      <c r="V52" s="425"/>
      <c r="W52" s="425"/>
      <c r="X52" s="425"/>
      <c r="Y52" s="425"/>
      <c r="Z52" s="433"/>
      <c r="AA52" s="433"/>
      <c r="AB52" s="433"/>
      <c r="AC52" s="420"/>
      <c r="AD52" s="439"/>
      <c r="AE52" s="476"/>
      <c r="AF52" s="431"/>
      <c r="AG52" s="420"/>
      <c r="AH52" s="420"/>
      <c r="AI52" s="420"/>
      <c r="AJ52" s="420"/>
      <c r="AK52" s="420"/>
      <c r="AL52" s="420"/>
      <c r="AM52" s="420"/>
      <c r="AN52" s="420"/>
      <c r="AO52" s="420"/>
      <c r="AP52" s="420"/>
      <c r="AQ52" s="420"/>
      <c r="AR52" s="420"/>
      <c r="AS52" s="420"/>
      <c r="AT52" s="420"/>
      <c r="AU52" s="420"/>
      <c r="AV52" s="432"/>
    </row>
    <row r="53" spans="1:136"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8"/>
      <c r="W53" s="478"/>
      <c r="X53" s="478"/>
      <c r="Y53" s="478"/>
      <c r="Z53" s="478"/>
      <c r="AA53" s="478"/>
      <c r="AB53" s="478"/>
      <c r="AC53" s="478"/>
      <c r="AD53" s="479"/>
      <c r="AE53" s="440"/>
      <c r="AF53" s="444"/>
      <c r="AG53" s="445"/>
      <c r="AH53" s="445"/>
      <c r="AI53" s="445"/>
      <c r="AJ53" s="445"/>
      <c r="AK53" s="445"/>
      <c r="AL53" s="445"/>
      <c r="AM53" s="445"/>
      <c r="AN53" s="445"/>
      <c r="AO53" s="445"/>
      <c r="AP53" s="445"/>
      <c r="AQ53" s="445"/>
      <c r="AR53" s="445"/>
      <c r="AS53" s="445"/>
      <c r="AT53" s="445"/>
      <c r="AU53" s="445"/>
      <c r="AV53" s="446"/>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c r="DQ53" s="388"/>
      <c r="DR53" s="388"/>
      <c r="DS53" s="388"/>
      <c r="DT53" s="388"/>
      <c r="DU53" s="388"/>
      <c r="DV53" s="388"/>
      <c r="DW53" s="388"/>
      <c r="DX53" s="388"/>
      <c r="DY53" s="388"/>
      <c r="DZ53" s="388"/>
      <c r="EA53" s="388"/>
      <c r="EB53" s="388"/>
      <c r="EC53" s="388"/>
      <c r="ED53" s="388"/>
      <c r="EE53" s="388"/>
      <c r="EF53" s="388"/>
    </row>
    <row r="54" spans="1:136" ht="21.75" customHeight="1" thickBot="1" x14ac:dyDescent="0.3">
      <c r="A54" s="440"/>
      <c r="B54" s="534" t="s">
        <v>28</v>
      </c>
      <c r="C54" s="535"/>
      <c r="D54" s="535"/>
      <c r="E54" s="535"/>
      <c r="F54" s="535"/>
      <c r="G54" s="535"/>
      <c r="H54" s="536"/>
      <c r="I54" s="342"/>
      <c r="J54" s="342"/>
      <c r="K54" s="342"/>
      <c r="L54" s="342"/>
      <c r="M54" s="342"/>
      <c r="N54" s="342"/>
      <c r="O54" s="342"/>
      <c r="P54" s="342"/>
      <c r="Q54" s="342"/>
      <c r="R54" s="342"/>
      <c r="S54" s="342"/>
      <c r="T54" s="342"/>
      <c r="U54" s="342"/>
      <c r="V54" s="342"/>
      <c r="W54" s="342"/>
      <c r="X54" s="342"/>
      <c r="Y54" s="342"/>
      <c r="Z54" s="342"/>
      <c r="AA54" s="342"/>
      <c r="AB54" s="342"/>
      <c r="AC54" s="342"/>
      <c r="AD54" s="342"/>
      <c r="AE54" s="440"/>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c r="DQ54" s="388"/>
      <c r="DR54" s="388"/>
      <c r="DS54" s="388"/>
      <c r="DT54" s="388"/>
      <c r="DU54" s="388"/>
      <c r="DV54" s="388"/>
      <c r="DW54" s="388"/>
      <c r="DX54" s="388"/>
      <c r="DY54" s="388"/>
      <c r="DZ54" s="388"/>
      <c r="EA54" s="388"/>
      <c r="EB54" s="388"/>
      <c r="EC54" s="388"/>
      <c r="ED54" s="388"/>
      <c r="EE54" s="388"/>
      <c r="EF54" s="388"/>
    </row>
    <row r="55" spans="1:136" ht="15.75" outlineLevel="1" thickBot="1" x14ac:dyDescent="0.3">
      <c r="B55" s="412"/>
      <c r="C55" s="413"/>
      <c r="D55" s="413"/>
      <c r="E55" s="413"/>
      <c r="F55" s="413"/>
      <c r="G55" s="413"/>
      <c r="H55" s="413"/>
      <c r="I55" s="413"/>
      <c r="J55" s="413"/>
      <c r="K55" s="413"/>
      <c r="L55" s="414"/>
      <c r="N55" s="412"/>
      <c r="O55" s="413"/>
      <c r="P55" s="413"/>
      <c r="Q55" s="413"/>
      <c r="R55" s="413"/>
      <c r="S55" s="413"/>
      <c r="T55" s="413"/>
      <c r="U55" s="413"/>
      <c r="V55" s="413"/>
      <c r="W55" s="413"/>
      <c r="X55" s="413"/>
      <c r="Y55" s="413"/>
      <c r="Z55" s="413"/>
      <c r="AA55" s="413"/>
      <c r="AB55" s="413"/>
      <c r="AC55" s="413"/>
      <c r="AD55" s="414"/>
      <c r="AF55" s="412"/>
      <c r="AG55" s="413"/>
      <c r="AH55" s="413"/>
      <c r="AI55" s="413"/>
      <c r="AJ55" s="413"/>
      <c r="AK55" s="413"/>
      <c r="AL55" s="413"/>
      <c r="AM55" s="413"/>
      <c r="AN55" s="413"/>
      <c r="AO55" s="413"/>
      <c r="AP55" s="413"/>
      <c r="AQ55" s="413"/>
      <c r="AR55" s="413"/>
      <c r="AS55" s="413"/>
      <c r="AT55" s="413"/>
      <c r="AU55" s="413"/>
      <c r="AV55" s="414"/>
    </row>
    <row r="56" spans="1:136" ht="15" customHeight="1" outlineLevel="1" thickBot="1" x14ac:dyDescent="0.3">
      <c r="B56" s="511" t="s">
        <v>48</v>
      </c>
      <c r="C56" s="512"/>
      <c r="D56" s="512"/>
      <c r="E56" s="512"/>
      <c r="F56" s="512"/>
      <c r="G56" s="512"/>
      <c r="H56" s="512"/>
      <c r="I56" s="512"/>
      <c r="J56" s="512"/>
      <c r="K56" s="512"/>
      <c r="L56" s="513"/>
      <c r="M56" s="433"/>
      <c r="N56" s="418" t="s">
        <v>49</v>
      </c>
      <c r="O56" s="289"/>
      <c r="P56" s="289"/>
      <c r="Q56" s="289"/>
      <c r="R56" s="289"/>
      <c r="S56" s="289"/>
      <c r="T56" s="289"/>
      <c r="U56" s="289"/>
      <c r="V56" s="289"/>
      <c r="W56" s="289"/>
      <c r="X56" s="289"/>
      <c r="Y56" s="289"/>
      <c r="Z56" s="289"/>
      <c r="AA56" s="289"/>
      <c r="AB56" s="289"/>
      <c r="AC56" s="289"/>
      <c r="AD56" s="419"/>
      <c r="AE56" s="388"/>
      <c r="AF56" s="418" t="s">
        <v>42</v>
      </c>
      <c r="AG56" s="289"/>
      <c r="AH56" s="289"/>
      <c r="AI56" s="289"/>
      <c r="AJ56" s="289"/>
      <c r="AK56" s="289"/>
      <c r="AL56" s="289"/>
      <c r="AM56" s="289"/>
      <c r="AN56" s="289"/>
      <c r="AO56" s="289"/>
      <c r="AP56" s="289"/>
      <c r="AQ56" s="289"/>
      <c r="AR56" s="289"/>
      <c r="AS56" s="289"/>
      <c r="AT56" s="289"/>
      <c r="AU56" s="289"/>
      <c r="AV56" s="419"/>
      <c r="AX56" s="342"/>
      <c r="AY56" s="342"/>
      <c r="AZ56" s="342"/>
      <c r="BA56" s="342"/>
      <c r="BB56" s="342"/>
      <c r="BC56" s="342"/>
      <c r="BD56" s="342"/>
      <c r="BE56" s="342"/>
      <c r="BF56" s="342"/>
      <c r="BG56" s="342"/>
      <c r="BH56" s="342"/>
      <c r="BI56" s="342"/>
      <c r="BJ56" s="342"/>
    </row>
    <row r="57" spans="1:136" ht="43.5" customHeight="1" outlineLevel="1" x14ac:dyDescent="0.25">
      <c r="B57" s="486" t="s">
        <v>17</v>
      </c>
      <c r="C57" s="425"/>
      <c r="D57" s="425"/>
      <c r="E57" s="425"/>
      <c r="F57" s="425"/>
      <c r="G57" s="537" t="s">
        <v>253</v>
      </c>
      <c r="H57" s="538"/>
      <c r="I57" s="537" t="s">
        <v>254</v>
      </c>
      <c r="J57" s="539"/>
      <c r="K57" s="539"/>
      <c r="L57" s="503"/>
      <c r="M57" s="420"/>
      <c r="N57" s="269" t="s">
        <v>84</v>
      </c>
      <c r="O57" s="270"/>
      <c r="P57" s="422" t="s">
        <v>255</v>
      </c>
      <c r="Q57" s="270"/>
      <c r="R57" s="425"/>
      <c r="S57" s="422" t="s">
        <v>85</v>
      </c>
      <c r="T57" s="270"/>
      <c r="U57" s="422" t="s">
        <v>86</v>
      </c>
      <c r="V57" s="270"/>
      <c r="W57" s="425"/>
      <c r="X57" s="422" t="s">
        <v>256</v>
      </c>
      <c r="Y57" s="270"/>
      <c r="Z57" s="422" t="s">
        <v>257</v>
      </c>
      <c r="AA57" s="270"/>
      <c r="AB57" s="425"/>
      <c r="AC57" s="422" t="s">
        <v>258</v>
      </c>
      <c r="AD57" s="401"/>
      <c r="AE57" s="388"/>
      <c r="AF57" s="269" t="s">
        <v>42</v>
      </c>
      <c r="AG57" s="270"/>
      <c r="AH57" s="422" t="s">
        <v>259</v>
      </c>
      <c r="AI57" s="270"/>
      <c r="AJ57" s="425"/>
      <c r="AK57" s="422" t="s">
        <v>88</v>
      </c>
      <c r="AL57" s="270"/>
      <c r="AM57" s="422" t="s">
        <v>90</v>
      </c>
      <c r="AN57" s="270"/>
      <c r="AO57" s="425"/>
      <c r="AP57" s="422" t="s">
        <v>260</v>
      </c>
      <c r="AQ57" s="270"/>
      <c r="AR57" s="422" t="s">
        <v>261</v>
      </c>
      <c r="AS57" s="270"/>
      <c r="AT57" s="425"/>
      <c r="AU57" s="422" t="s">
        <v>262</v>
      </c>
      <c r="AV57" s="401"/>
      <c r="AX57" s="342"/>
      <c r="AY57" s="342"/>
      <c r="AZ57" s="342"/>
      <c r="BA57" s="342"/>
      <c r="BB57" s="342"/>
      <c r="BC57" s="342"/>
      <c r="BD57" s="342"/>
      <c r="BE57" s="342"/>
      <c r="BF57" s="342"/>
      <c r="BG57" s="342"/>
      <c r="BH57" s="342"/>
      <c r="BI57" s="342"/>
      <c r="BJ57" s="342"/>
    </row>
    <row r="58" spans="1:136" outlineLevel="1" x14ac:dyDescent="0.25">
      <c r="B58" s="435" t="s">
        <v>18</v>
      </c>
      <c r="C58" s="425"/>
      <c r="D58" s="425"/>
      <c r="E58" s="425"/>
      <c r="F58" s="425"/>
      <c r="G58" s="469"/>
      <c r="H58" s="427" t="str">
        <f>GENERALITES!$D$14</f>
        <v>kg</v>
      </c>
      <c r="I58" s="485">
        <f>$N$10</f>
        <v>0</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425"/>
      <c r="S58" s="302">
        <f>'ETAPE 2'!Z58</f>
        <v>0</v>
      </c>
      <c r="T58" s="427" t="s">
        <v>72</v>
      </c>
      <c r="U58" s="302">
        <f>S58*$B$10</f>
        <v>0</v>
      </c>
      <c r="V58" s="427" t="s">
        <v>6</v>
      </c>
      <c r="W58" s="425"/>
      <c r="X58" s="302">
        <f>P58+U58</f>
        <v>0</v>
      </c>
      <c r="Y58" s="427" t="s">
        <v>6</v>
      </c>
      <c r="Z58" s="302">
        <f>IF($E$10&lt;&gt;0,X58/$E$10,0)</f>
        <v>0</v>
      </c>
      <c r="AA58" s="427" t="s">
        <v>72</v>
      </c>
      <c r="AB58" s="425"/>
      <c r="AC58" s="302">
        <f>$N$10/100*U58+IF(B58=Annexes!$B$3,I58/100*P58,IF(SUM(G61:G64)&gt;0,K58/SUM(G61:G64)*P58,0))</f>
        <v>0</v>
      </c>
      <c r="AD58" s="428" t="s">
        <v>6</v>
      </c>
      <c r="AE58" s="388"/>
      <c r="AF58" s="437">
        <f>GENERALITES!$M$47</f>
        <v>0</v>
      </c>
      <c r="AG58" s="427" t="str">
        <f>GENERALITES!$N$47</f>
        <v>TCO2 / kg</v>
      </c>
      <c r="AH58" s="302">
        <f>IF(B58=Annexes!$B$3,G58*AF58,SUM(G61:G64)*AF58)</f>
        <v>0</v>
      </c>
      <c r="AI58" s="427" t="s">
        <v>21</v>
      </c>
      <c r="AJ58" s="425"/>
      <c r="AK58" s="302">
        <f>'ETAPE 2'!AR58</f>
        <v>0</v>
      </c>
      <c r="AL58" s="427" t="s">
        <v>73</v>
      </c>
      <c r="AM58" s="302">
        <f>AK58*$B$10</f>
        <v>0</v>
      </c>
      <c r="AN58" s="427" t="s">
        <v>21</v>
      </c>
      <c r="AO58" s="425"/>
      <c r="AP58" s="302">
        <f>AH58+AM58</f>
        <v>0</v>
      </c>
      <c r="AQ58" s="427" t="s">
        <v>21</v>
      </c>
      <c r="AR58" s="302">
        <f>IF($E$10&lt;&gt;0,AP58/$E$10,0)</f>
        <v>0</v>
      </c>
      <c r="AS58" s="427" t="s">
        <v>73</v>
      </c>
      <c r="AT58" s="425"/>
      <c r="AU58" s="302">
        <f>$N$10/100*AM58+IF(B58=Annexes!$B$3,I58/100*AH58,IF(SUM(G61:G64)&gt;0,K58/SUM(G61:G64)*AH58,0))</f>
        <v>0</v>
      </c>
      <c r="AV58" s="428" t="s">
        <v>21</v>
      </c>
      <c r="AX58" s="342"/>
      <c r="AY58" s="342"/>
      <c r="AZ58" s="342"/>
      <c r="BA58" s="342"/>
      <c r="BB58" s="342"/>
      <c r="BC58" s="342"/>
      <c r="BD58" s="342"/>
      <c r="BE58" s="342"/>
      <c r="BF58" s="342"/>
      <c r="BG58" s="342"/>
      <c r="BH58" s="342"/>
      <c r="BI58" s="342"/>
      <c r="BJ58" s="342"/>
    </row>
    <row r="59" spans="1:136" outlineLevel="1" x14ac:dyDescent="0.25">
      <c r="B59" s="431"/>
      <c r="C59" s="425"/>
      <c r="D59" s="425"/>
      <c r="E59" s="425"/>
      <c r="F59" s="425"/>
      <c r="G59" s="420"/>
      <c r="H59" s="420"/>
      <c r="I59" s="420"/>
      <c r="J59" s="420"/>
      <c r="K59" s="420"/>
      <c r="L59" s="432"/>
      <c r="M59" s="420"/>
      <c r="N59" s="514"/>
      <c r="O59" s="420"/>
      <c r="P59" s="515"/>
      <c r="Q59" s="420"/>
      <c r="R59" s="425"/>
      <c r="S59" s="516"/>
      <c r="T59" s="420"/>
      <c r="U59" s="515"/>
      <c r="V59" s="420"/>
      <c r="W59" s="425"/>
      <c r="X59" s="515"/>
      <c r="Y59" s="420"/>
      <c r="Z59" s="515"/>
      <c r="AA59" s="420"/>
      <c r="AB59" s="425"/>
      <c r="AC59" s="517"/>
      <c r="AD59" s="432"/>
      <c r="AE59" s="388"/>
      <c r="AF59" s="514"/>
      <c r="AG59" s="420"/>
      <c r="AH59" s="515"/>
      <c r="AI59" s="420"/>
      <c r="AJ59" s="425"/>
      <c r="AK59" s="516"/>
      <c r="AL59" s="420"/>
      <c r="AM59" s="515"/>
      <c r="AN59" s="420"/>
      <c r="AO59" s="425"/>
      <c r="AP59" s="515"/>
      <c r="AQ59" s="420"/>
      <c r="AR59" s="515"/>
      <c r="AS59" s="420"/>
      <c r="AT59" s="425"/>
      <c r="AU59" s="518"/>
      <c r="AV59" s="432"/>
      <c r="AX59" s="342"/>
      <c r="AY59" s="342"/>
      <c r="AZ59" s="342"/>
      <c r="BA59" s="342"/>
      <c r="BB59" s="342"/>
      <c r="BC59" s="342"/>
      <c r="BD59" s="342"/>
      <c r="BE59" s="342"/>
      <c r="BF59" s="342"/>
      <c r="BG59" s="342"/>
      <c r="BH59" s="342"/>
      <c r="BI59" s="342"/>
      <c r="BJ59" s="342"/>
    </row>
    <row r="60" spans="1:136" outlineLevel="1" x14ac:dyDescent="0.25">
      <c r="B60" s="464" t="s">
        <v>7</v>
      </c>
      <c r="C60" s="425"/>
      <c r="D60" s="425"/>
      <c r="E60" s="425"/>
      <c r="F60" s="425"/>
      <c r="G60" s="519"/>
      <c r="H60" s="519"/>
      <c r="I60" s="434"/>
      <c r="J60" s="434"/>
      <c r="K60" s="425"/>
      <c r="L60" s="470"/>
      <c r="M60" s="420"/>
      <c r="N60" s="514"/>
      <c r="O60" s="420"/>
      <c r="P60" s="515"/>
      <c r="Q60" s="420"/>
      <c r="R60" s="425"/>
      <c r="S60" s="516"/>
      <c r="T60" s="420"/>
      <c r="U60" s="515"/>
      <c r="V60" s="420"/>
      <c r="W60" s="425"/>
      <c r="X60" s="515"/>
      <c r="Y60" s="420"/>
      <c r="Z60" s="515"/>
      <c r="AA60" s="420"/>
      <c r="AB60" s="425"/>
      <c r="AC60" s="517"/>
      <c r="AD60" s="432"/>
      <c r="AE60" s="388"/>
      <c r="AF60" s="514"/>
      <c r="AG60" s="420"/>
      <c r="AH60" s="515"/>
      <c r="AI60" s="420"/>
      <c r="AJ60" s="425"/>
      <c r="AK60" s="516"/>
      <c r="AL60" s="420"/>
      <c r="AM60" s="515"/>
      <c r="AN60" s="420"/>
      <c r="AO60" s="425"/>
      <c r="AP60" s="515"/>
      <c r="AQ60" s="420"/>
      <c r="AR60" s="515"/>
      <c r="AS60" s="420"/>
      <c r="AT60" s="425"/>
      <c r="AU60" s="518"/>
      <c r="AV60" s="432"/>
      <c r="AX60" s="342"/>
      <c r="AY60" s="342"/>
      <c r="AZ60" s="342"/>
      <c r="BA60" s="342"/>
      <c r="BB60" s="342"/>
      <c r="BC60" s="342"/>
      <c r="BD60" s="342"/>
      <c r="BE60" s="342"/>
      <c r="BF60" s="342"/>
      <c r="BG60" s="342"/>
      <c r="BH60" s="342"/>
      <c r="BI60" s="342"/>
      <c r="BJ60" s="342"/>
    </row>
    <row r="61" spans="1:136" outlineLevel="1" x14ac:dyDescent="0.25">
      <c r="B61" s="472"/>
      <c r="C61" s="425"/>
      <c r="D61" s="425"/>
      <c r="E61" s="425"/>
      <c r="F61" s="425"/>
      <c r="G61" s="473"/>
      <c r="H61" s="427" t="str">
        <f>GENERALITES!$D$14</f>
        <v>kg</v>
      </c>
      <c r="I61" s="436"/>
      <c r="J61" s="430" t="s">
        <v>2</v>
      </c>
      <c r="K61" s="425"/>
      <c r="L61" s="470"/>
      <c r="M61" s="420"/>
      <c r="N61" s="514"/>
      <c r="O61" s="420"/>
      <c r="P61" s="515"/>
      <c r="Q61" s="420"/>
      <c r="R61" s="425"/>
      <c r="S61" s="516"/>
      <c r="T61" s="420"/>
      <c r="U61" s="515"/>
      <c r="V61" s="420"/>
      <c r="W61" s="425"/>
      <c r="X61" s="515"/>
      <c r="Y61" s="420"/>
      <c r="Z61" s="515"/>
      <c r="AA61" s="420"/>
      <c r="AB61" s="425"/>
      <c r="AC61" s="517"/>
      <c r="AD61" s="432"/>
      <c r="AE61" s="388"/>
      <c r="AF61" s="514"/>
      <c r="AG61" s="420"/>
      <c r="AH61" s="515"/>
      <c r="AI61" s="420"/>
      <c r="AJ61" s="425"/>
      <c r="AK61" s="516"/>
      <c r="AL61" s="420"/>
      <c r="AM61" s="515"/>
      <c r="AN61" s="420"/>
      <c r="AO61" s="425"/>
      <c r="AP61" s="515"/>
      <c r="AQ61" s="420"/>
      <c r="AR61" s="515"/>
      <c r="AS61" s="420"/>
      <c r="AT61" s="425"/>
      <c r="AU61" s="518"/>
      <c r="AV61" s="432"/>
      <c r="AX61" s="342"/>
      <c r="AY61" s="342"/>
      <c r="AZ61" s="342"/>
      <c r="BA61" s="342"/>
      <c r="BB61" s="342"/>
      <c r="BC61" s="342"/>
      <c r="BD61" s="342"/>
      <c r="BE61" s="342"/>
      <c r="BF61" s="342"/>
      <c r="BG61" s="342"/>
      <c r="BH61" s="342"/>
      <c r="BI61" s="342"/>
      <c r="BJ61" s="342"/>
    </row>
    <row r="62" spans="1:136" outlineLevel="1" x14ac:dyDescent="0.25">
      <c r="B62" s="472"/>
      <c r="C62" s="425"/>
      <c r="D62" s="425"/>
      <c r="E62" s="425"/>
      <c r="F62" s="425"/>
      <c r="G62" s="473"/>
      <c r="H62" s="427" t="str">
        <f>GENERALITES!$D$14</f>
        <v>kg</v>
      </c>
      <c r="I62" s="436"/>
      <c r="J62" s="430" t="s">
        <v>2</v>
      </c>
      <c r="K62" s="425"/>
      <c r="L62" s="470"/>
      <c r="M62" s="420"/>
      <c r="N62" s="514"/>
      <c r="O62" s="420"/>
      <c r="P62" s="515"/>
      <c r="Q62" s="420"/>
      <c r="R62" s="425"/>
      <c r="S62" s="516"/>
      <c r="T62" s="420"/>
      <c r="U62" s="515"/>
      <c r="V62" s="420"/>
      <c r="W62" s="425"/>
      <c r="X62" s="515"/>
      <c r="Y62" s="420"/>
      <c r="Z62" s="515"/>
      <c r="AA62" s="420"/>
      <c r="AB62" s="425"/>
      <c r="AC62" s="517"/>
      <c r="AD62" s="432"/>
      <c r="AE62" s="388"/>
      <c r="AF62" s="514"/>
      <c r="AG62" s="420"/>
      <c r="AH62" s="515"/>
      <c r="AI62" s="420"/>
      <c r="AJ62" s="425"/>
      <c r="AK62" s="516"/>
      <c r="AL62" s="420"/>
      <c r="AM62" s="515"/>
      <c r="AN62" s="420"/>
      <c r="AO62" s="425"/>
      <c r="AP62" s="515"/>
      <c r="AQ62" s="420"/>
      <c r="AR62" s="515"/>
      <c r="AS62" s="420"/>
      <c r="AT62" s="425"/>
      <c r="AU62" s="518"/>
      <c r="AV62" s="432"/>
      <c r="AX62" s="342"/>
      <c r="AY62" s="342"/>
      <c r="AZ62" s="342"/>
      <c r="BA62" s="342"/>
      <c r="BB62" s="342"/>
      <c r="BC62" s="342"/>
      <c r="BD62" s="342"/>
      <c r="BE62" s="342"/>
      <c r="BF62" s="342"/>
      <c r="BG62" s="342"/>
      <c r="BH62" s="342"/>
      <c r="BI62" s="342"/>
      <c r="BJ62" s="342"/>
    </row>
    <row r="63" spans="1:136" outlineLevel="1" x14ac:dyDescent="0.25">
      <c r="B63" s="472"/>
      <c r="C63" s="425"/>
      <c r="D63" s="425"/>
      <c r="E63" s="425"/>
      <c r="F63" s="425"/>
      <c r="G63" s="473"/>
      <c r="H63" s="427" t="str">
        <f>GENERALITES!$D$14</f>
        <v>kg</v>
      </c>
      <c r="I63" s="436"/>
      <c r="J63" s="430" t="s">
        <v>2</v>
      </c>
      <c r="K63" s="425"/>
      <c r="L63" s="470"/>
      <c r="M63" s="420"/>
      <c r="N63" s="514"/>
      <c r="O63" s="420"/>
      <c r="P63" s="515"/>
      <c r="Q63" s="420"/>
      <c r="R63" s="425"/>
      <c r="S63" s="516"/>
      <c r="T63" s="420"/>
      <c r="U63" s="515"/>
      <c r="V63" s="420"/>
      <c r="W63" s="425"/>
      <c r="X63" s="515"/>
      <c r="Y63" s="420"/>
      <c r="Z63" s="515"/>
      <c r="AA63" s="420"/>
      <c r="AB63" s="425"/>
      <c r="AC63" s="517"/>
      <c r="AD63" s="432"/>
      <c r="AE63" s="388"/>
      <c r="AF63" s="514"/>
      <c r="AG63" s="420"/>
      <c r="AH63" s="515"/>
      <c r="AI63" s="420"/>
      <c r="AJ63" s="425"/>
      <c r="AK63" s="516"/>
      <c r="AL63" s="420"/>
      <c r="AM63" s="515"/>
      <c r="AN63" s="420"/>
      <c r="AO63" s="425"/>
      <c r="AP63" s="515"/>
      <c r="AQ63" s="420"/>
      <c r="AR63" s="515"/>
      <c r="AS63" s="420"/>
      <c r="AT63" s="425"/>
      <c r="AU63" s="518"/>
      <c r="AV63" s="432"/>
      <c r="AX63" s="342"/>
      <c r="AY63" s="342"/>
      <c r="AZ63" s="342"/>
      <c r="BA63" s="342"/>
      <c r="BB63" s="342"/>
      <c r="BC63" s="342"/>
      <c r="BD63" s="342"/>
      <c r="BE63" s="342"/>
      <c r="BF63" s="342"/>
      <c r="BG63" s="342"/>
      <c r="BH63" s="342"/>
      <c r="BI63" s="342"/>
      <c r="BJ63" s="342"/>
    </row>
    <row r="64" spans="1:136" outlineLevel="1" x14ac:dyDescent="0.25">
      <c r="B64" s="472"/>
      <c r="C64" s="425"/>
      <c r="D64" s="425"/>
      <c r="E64" s="425"/>
      <c r="F64" s="425"/>
      <c r="G64" s="473"/>
      <c r="H64" s="427" t="str">
        <f>GENERALITES!$D$14</f>
        <v>kg</v>
      </c>
      <c r="I64" s="436"/>
      <c r="J64" s="430" t="s">
        <v>2</v>
      </c>
      <c r="K64" s="425"/>
      <c r="L64" s="470"/>
      <c r="M64" s="420"/>
      <c r="N64" s="514"/>
      <c r="O64" s="420"/>
      <c r="P64" s="515"/>
      <c r="Q64" s="420"/>
      <c r="R64" s="425"/>
      <c r="S64" s="516"/>
      <c r="T64" s="420"/>
      <c r="U64" s="515"/>
      <c r="V64" s="420"/>
      <c r="W64" s="425"/>
      <c r="X64" s="515"/>
      <c r="Y64" s="420"/>
      <c r="Z64" s="515"/>
      <c r="AA64" s="420"/>
      <c r="AB64" s="425"/>
      <c r="AC64" s="517"/>
      <c r="AD64" s="432"/>
      <c r="AE64" s="388"/>
      <c r="AF64" s="514"/>
      <c r="AG64" s="420"/>
      <c r="AH64" s="515"/>
      <c r="AI64" s="420"/>
      <c r="AJ64" s="425"/>
      <c r="AK64" s="516"/>
      <c r="AL64" s="420"/>
      <c r="AM64" s="515"/>
      <c r="AN64" s="420"/>
      <c r="AO64" s="425"/>
      <c r="AP64" s="515"/>
      <c r="AQ64" s="420"/>
      <c r="AR64" s="515"/>
      <c r="AS64" s="420"/>
      <c r="AT64" s="425"/>
      <c r="AU64" s="518"/>
      <c r="AV64" s="432"/>
      <c r="AX64" s="342"/>
      <c r="AY64" s="342"/>
      <c r="AZ64" s="342"/>
      <c r="BA64" s="342"/>
      <c r="BB64" s="342"/>
      <c r="BC64" s="342"/>
      <c r="BD64" s="342"/>
      <c r="BE64" s="342"/>
      <c r="BF64" s="342"/>
      <c r="BG64" s="342"/>
      <c r="BH64" s="342"/>
      <c r="BI64" s="342"/>
      <c r="BJ64" s="342"/>
    </row>
    <row r="65" spans="1:136"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8"/>
      <c r="W65" s="478"/>
      <c r="X65" s="478"/>
      <c r="Y65" s="478"/>
      <c r="Z65" s="478"/>
      <c r="AA65" s="478"/>
      <c r="AB65" s="478"/>
      <c r="AC65" s="478"/>
      <c r="AD65" s="479"/>
      <c r="AE65" s="440"/>
      <c r="AF65" s="444"/>
      <c r="AG65" s="445"/>
      <c r="AH65" s="445"/>
      <c r="AI65" s="445"/>
      <c r="AJ65" s="445"/>
      <c r="AK65" s="445"/>
      <c r="AL65" s="445"/>
      <c r="AM65" s="445"/>
      <c r="AN65" s="445"/>
      <c r="AO65" s="445"/>
      <c r="AP65" s="445"/>
      <c r="AQ65" s="445"/>
      <c r="AR65" s="445"/>
      <c r="AS65" s="445"/>
      <c r="AT65" s="445"/>
      <c r="AU65" s="445"/>
      <c r="AV65" s="446"/>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c r="DQ65" s="388"/>
      <c r="DR65" s="388"/>
      <c r="DS65" s="388"/>
      <c r="DT65" s="388"/>
      <c r="DU65" s="388"/>
      <c r="DV65" s="388"/>
      <c r="DW65" s="388"/>
      <c r="DX65" s="388"/>
      <c r="DY65" s="388"/>
      <c r="DZ65" s="388"/>
      <c r="EA65" s="388"/>
      <c r="EB65" s="388"/>
      <c r="EC65" s="388"/>
      <c r="ED65" s="388"/>
      <c r="EE65" s="388"/>
      <c r="EF65" s="388"/>
    </row>
    <row r="66" spans="1:136" ht="21.75" customHeight="1" thickBot="1" x14ac:dyDescent="0.3">
      <c r="A66" s="440"/>
      <c r="B66" s="534" t="str">
        <f>GENERALITES!$B$48</f>
        <v>Autre énergie</v>
      </c>
      <c r="C66" s="535"/>
      <c r="D66" s="535"/>
      <c r="E66" s="535"/>
      <c r="F66" s="535"/>
      <c r="G66" s="535"/>
      <c r="H66" s="536"/>
      <c r="I66" s="342"/>
      <c r="J66" s="342"/>
      <c r="K66" s="342"/>
      <c r="L66" s="342"/>
      <c r="M66" s="342"/>
      <c r="N66" s="342"/>
      <c r="O66" s="342"/>
      <c r="P66" s="342"/>
      <c r="Q66" s="342"/>
      <c r="R66" s="342"/>
      <c r="S66" s="342"/>
      <c r="T66" s="342"/>
      <c r="U66" s="342"/>
      <c r="V66" s="342"/>
      <c r="W66" s="342"/>
      <c r="X66" s="342"/>
      <c r="Y66" s="342"/>
      <c r="Z66" s="342"/>
      <c r="AA66" s="342"/>
      <c r="AB66" s="342"/>
      <c r="AC66" s="342"/>
      <c r="AD66" s="342"/>
      <c r="AE66" s="440"/>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t="s">
        <v>40</v>
      </c>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c r="DQ66" s="388"/>
      <c r="DR66" s="388"/>
      <c r="DS66" s="388"/>
      <c r="DT66" s="388"/>
      <c r="DU66" s="388"/>
      <c r="DV66" s="388"/>
      <c r="DW66" s="388"/>
      <c r="DX66" s="388"/>
      <c r="DY66" s="388"/>
      <c r="DZ66" s="388"/>
      <c r="EA66" s="388"/>
      <c r="EB66" s="388"/>
      <c r="EC66" s="388"/>
      <c r="ED66" s="388"/>
      <c r="EE66" s="388"/>
      <c r="EF66" s="388"/>
    </row>
    <row r="67" spans="1:136"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3"/>
      <c r="W67" s="413"/>
      <c r="X67" s="413"/>
      <c r="Y67" s="413"/>
      <c r="Z67" s="413"/>
      <c r="AA67" s="413"/>
      <c r="AB67" s="413"/>
      <c r="AC67" s="413"/>
      <c r="AD67" s="414"/>
      <c r="AF67" s="412"/>
      <c r="AG67" s="413"/>
      <c r="AH67" s="413"/>
      <c r="AI67" s="413"/>
      <c r="AJ67" s="413"/>
      <c r="AK67" s="413"/>
      <c r="AL67" s="413"/>
      <c r="AM67" s="413"/>
      <c r="AN67" s="413"/>
      <c r="AO67" s="413"/>
      <c r="AP67" s="413"/>
      <c r="AQ67" s="413"/>
      <c r="AR67" s="413"/>
      <c r="AS67" s="413"/>
      <c r="AT67" s="413"/>
      <c r="AU67" s="413"/>
      <c r="AV67" s="414"/>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c r="DQ67" s="388"/>
      <c r="DR67" s="388"/>
      <c r="DS67" s="388"/>
      <c r="DT67" s="388"/>
      <c r="DU67" s="388"/>
      <c r="DV67" s="388"/>
      <c r="DW67" s="388"/>
      <c r="DX67" s="388"/>
      <c r="DY67" s="388"/>
      <c r="DZ67" s="388"/>
      <c r="EA67" s="388"/>
      <c r="EB67" s="388"/>
      <c r="EC67" s="388"/>
      <c r="ED67" s="388"/>
      <c r="EE67" s="388"/>
      <c r="EF67" s="388"/>
    </row>
    <row r="68" spans="1:136" ht="15" customHeight="1"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289"/>
      <c r="W68" s="289"/>
      <c r="X68" s="289"/>
      <c r="Y68" s="289"/>
      <c r="Z68" s="289"/>
      <c r="AA68" s="289"/>
      <c r="AB68" s="289"/>
      <c r="AC68" s="289"/>
      <c r="AD68" s="419"/>
      <c r="AE68" s="388"/>
      <c r="AF68" s="418" t="s">
        <v>68</v>
      </c>
      <c r="AG68" s="289"/>
      <c r="AH68" s="289"/>
      <c r="AI68" s="289"/>
      <c r="AJ68" s="289"/>
      <c r="AK68" s="289"/>
      <c r="AL68" s="289"/>
      <c r="AM68" s="289"/>
      <c r="AN68" s="289"/>
      <c r="AO68" s="289"/>
      <c r="AP68" s="289"/>
      <c r="AQ68" s="289"/>
      <c r="AR68" s="289"/>
      <c r="AS68" s="289"/>
      <c r="AT68" s="289"/>
      <c r="AU68" s="289"/>
      <c r="AV68" s="419"/>
      <c r="AW68" s="388"/>
      <c r="AX68" s="342"/>
      <c r="AY68" s="342"/>
      <c r="AZ68" s="342"/>
      <c r="BA68" s="342"/>
      <c r="BB68" s="342"/>
      <c r="BC68" s="342"/>
      <c r="BD68" s="342"/>
      <c r="BE68" s="342"/>
      <c r="BF68" s="342"/>
      <c r="BG68" s="342"/>
      <c r="BH68" s="342"/>
      <c r="BI68" s="342"/>
      <c r="BJ68" s="342"/>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c r="DQ68" s="388"/>
      <c r="DR68" s="388"/>
      <c r="DS68" s="388"/>
      <c r="DT68" s="388"/>
      <c r="DU68" s="388"/>
      <c r="DV68" s="388"/>
      <c r="DW68" s="388"/>
      <c r="DX68" s="388"/>
      <c r="DY68" s="388"/>
      <c r="DZ68" s="388"/>
      <c r="EA68" s="388"/>
      <c r="EB68" s="388"/>
      <c r="EC68" s="388"/>
      <c r="ED68" s="388"/>
      <c r="EE68" s="388"/>
      <c r="EF68" s="388"/>
    </row>
    <row r="69" spans="1:136" ht="43.5" customHeight="1" outlineLevel="1" x14ac:dyDescent="0.25">
      <c r="A69" s="440"/>
      <c r="B69" s="464" t="s">
        <v>17</v>
      </c>
      <c r="C69" s="425"/>
      <c r="D69" s="425"/>
      <c r="E69" s="425"/>
      <c r="F69" s="425"/>
      <c r="G69" s="422" t="s">
        <v>263</v>
      </c>
      <c r="H69" s="270"/>
      <c r="I69" s="422" t="s">
        <v>264</v>
      </c>
      <c r="J69" s="447"/>
      <c r="K69" s="447"/>
      <c r="L69" s="401"/>
      <c r="M69" s="420"/>
      <c r="N69" s="269" t="s">
        <v>69</v>
      </c>
      <c r="O69" s="270"/>
      <c r="P69" s="422" t="s">
        <v>265</v>
      </c>
      <c r="Q69" s="270"/>
      <c r="R69" s="425"/>
      <c r="S69" s="422" t="s">
        <v>97</v>
      </c>
      <c r="T69" s="270"/>
      <c r="U69" s="422" t="s">
        <v>98</v>
      </c>
      <c r="V69" s="270"/>
      <c r="W69" s="425"/>
      <c r="X69" s="422" t="s">
        <v>266</v>
      </c>
      <c r="Y69" s="270"/>
      <c r="Z69" s="422" t="s">
        <v>267</v>
      </c>
      <c r="AA69" s="270"/>
      <c r="AB69" s="425"/>
      <c r="AC69" s="422" t="s">
        <v>268</v>
      </c>
      <c r="AD69" s="401"/>
      <c r="AE69" s="388"/>
      <c r="AF69" s="269" t="s">
        <v>68</v>
      </c>
      <c r="AG69" s="270"/>
      <c r="AH69" s="422" t="s">
        <v>269</v>
      </c>
      <c r="AI69" s="270"/>
      <c r="AJ69" s="425"/>
      <c r="AK69" s="422" t="s">
        <v>99</v>
      </c>
      <c r="AL69" s="270"/>
      <c r="AM69" s="422" t="s">
        <v>100</v>
      </c>
      <c r="AN69" s="270"/>
      <c r="AO69" s="425"/>
      <c r="AP69" s="422" t="s">
        <v>270</v>
      </c>
      <c r="AQ69" s="270"/>
      <c r="AR69" s="422" t="s">
        <v>271</v>
      </c>
      <c r="AS69" s="270"/>
      <c r="AT69" s="425"/>
      <c r="AU69" s="422" t="s">
        <v>272</v>
      </c>
      <c r="AV69" s="401"/>
      <c r="AW69" s="388"/>
      <c r="AX69" s="342"/>
      <c r="AY69" s="342"/>
      <c r="AZ69" s="342"/>
      <c r="BA69" s="342"/>
      <c r="BB69" s="342"/>
      <c r="BC69" s="342"/>
      <c r="BD69" s="342"/>
      <c r="BE69" s="342"/>
      <c r="BF69" s="342"/>
      <c r="BG69" s="342"/>
      <c r="BH69" s="342"/>
      <c r="BI69" s="342"/>
      <c r="BJ69" s="342"/>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c r="DQ69" s="388"/>
      <c r="DR69" s="388"/>
      <c r="DS69" s="388"/>
      <c r="DT69" s="388"/>
      <c r="DU69" s="388"/>
      <c r="DV69" s="388"/>
      <c r="DW69" s="388"/>
      <c r="DX69" s="388"/>
      <c r="DY69" s="388"/>
      <c r="DZ69" s="388"/>
      <c r="EA69" s="388"/>
      <c r="EB69" s="388"/>
      <c r="EC69" s="388"/>
      <c r="ED69" s="388"/>
      <c r="EE69" s="388"/>
      <c r="EF69" s="388"/>
    </row>
    <row r="70" spans="1:136" outlineLevel="1" x14ac:dyDescent="0.25">
      <c r="A70" s="440"/>
      <c r="B70" s="435" t="s">
        <v>18</v>
      </c>
      <c r="C70" s="425"/>
      <c r="D70" s="425"/>
      <c r="E70" s="425"/>
      <c r="F70" s="425"/>
      <c r="G70" s="469"/>
      <c r="H70" s="427">
        <f>GENERALITES!$D$15</f>
        <v>0</v>
      </c>
      <c r="I70" s="485">
        <f>$N$10</f>
        <v>0</v>
      </c>
      <c r="J70" s="449" t="s">
        <v>2</v>
      </c>
      <c r="K70" s="302">
        <f>IF(B70=Annexes!$B$3,G70*I70/100,SUMPRODUCT(G73:G76,I73:I76/100))</f>
        <v>0</v>
      </c>
      <c r="L70" s="428">
        <f>GENERALITES!$D$15</f>
        <v>0</v>
      </c>
      <c r="M70" s="420"/>
      <c r="N70" s="437">
        <f>GENERALITES!$D$48</f>
        <v>0</v>
      </c>
      <c r="O70" s="427" t="str">
        <f>GENERALITES!$E$48</f>
        <v xml:space="preserve">€ / </v>
      </c>
      <c r="P70" s="302">
        <f>IF(B70=Annexes!$B$3,G70*N70,SUM(G73:G76)*N70)</f>
        <v>0</v>
      </c>
      <c r="Q70" s="427" t="s">
        <v>6</v>
      </c>
      <c r="R70" s="425"/>
      <c r="S70" s="302">
        <f>'ETAPE 2'!Z70</f>
        <v>0</v>
      </c>
      <c r="T70" s="520" t="s">
        <v>72</v>
      </c>
      <c r="U70" s="448">
        <f>S70*$B$10</f>
        <v>0</v>
      </c>
      <c r="V70" s="427" t="s">
        <v>6</v>
      </c>
      <c r="W70" s="425"/>
      <c r="X70" s="302">
        <f>P70+U70</f>
        <v>0</v>
      </c>
      <c r="Y70" s="427" t="s">
        <v>6</v>
      </c>
      <c r="Z70" s="302">
        <f>IF($E$10&lt;&gt;0,X70/$E$10,0)</f>
        <v>0</v>
      </c>
      <c r="AA70" s="427" t="s">
        <v>72</v>
      </c>
      <c r="AB70" s="425"/>
      <c r="AC70" s="302">
        <f>$N$10/100*U70+IF(B70=Annexes!$B$3,I70/100*P70,IF(SUM(G73:G76)&gt;0,K70/SUM(G73:G76)*P70,0))</f>
        <v>0</v>
      </c>
      <c r="AD70" s="428" t="s">
        <v>6</v>
      </c>
      <c r="AE70" s="388"/>
      <c r="AF70" s="437">
        <f>GENERALITES!$M$48</f>
        <v>0</v>
      </c>
      <c r="AG70" s="427" t="str">
        <f>GENERALITES!$N$48</f>
        <v xml:space="preserve">TCO2 / </v>
      </c>
      <c r="AH70" s="302">
        <f>IF(B70=Annexes!$B$3,G70*AF70,SUM(G73:G76)*AF70)</f>
        <v>0</v>
      </c>
      <c r="AI70" s="427" t="s">
        <v>21</v>
      </c>
      <c r="AJ70" s="425"/>
      <c r="AK70" s="302">
        <f>'ETAPE 2'!AR70</f>
        <v>0</v>
      </c>
      <c r="AL70" s="427" t="s">
        <v>73</v>
      </c>
      <c r="AM70" s="448">
        <f>AK70*$B$10</f>
        <v>0</v>
      </c>
      <c r="AN70" s="427" t="s">
        <v>21</v>
      </c>
      <c r="AO70" s="425"/>
      <c r="AP70" s="302">
        <f>AH70+AM70</f>
        <v>0</v>
      </c>
      <c r="AQ70" s="427" t="s">
        <v>21</v>
      </c>
      <c r="AR70" s="302">
        <f>IF($E$10&lt;&gt;0,AP70/$E$10,0)</f>
        <v>0</v>
      </c>
      <c r="AS70" s="427" t="s">
        <v>73</v>
      </c>
      <c r="AT70" s="425"/>
      <c r="AU70" s="302">
        <f>$N$10/100*AM70+IF(B70=Annexes!$B$3,I70/100*AH70,IF(SUM(G73:G76)&gt;0,K70/SUM(G73:G76)*AH70,0))</f>
        <v>0</v>
      </c>
      <c r="AV70" s="428" t="s">
        <v>21</v>
      </c>
      <c r="AW70" s="388"/>
      <c r="AX70" s="342"/>
      <c r="AY70" s="342"/>
      <c r="AZ70" s="342"/>
      <c r="BA70" s="342"/>
      <c r="BB70" s="342"/>
      <c r="BC70" s="342"/>
      <c r="BD70" s="342"/>
      <c r="BE70" s="342"/>
      <c r="BF70" s="342"/>
      <c r="BG70" s="342"/>
      <c r="BH70" s="342"/>
      <c r="BI70" s="342"/>
      <c r="BJ70" s="342"/>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c r="DQ70" s="388"/>
      <c r="DR70" s="388"/>
      <c r="DS70" s="388"/>
      <c r="DT70" s="388"/>
      <c r="DU70" s="388"/>
      <c r="DV70" s="388"/>
      <c r="DW70" s="388"/>
      <c r="DX70" s="388"/>
      <c r="DY70" s="388"/>
      <c r="DZ70" s="388"/>
      <c r="EA70" s="388"/>
      <c r="EB70" s="388"/>
      <c r="EC70" s="388"/>
      <c r="ED70" s="388"/>
      <c r="EE70" s="388"/>
      <c r="EF70" s="388"/>
    </row>
    <row r="71" spans="1:136" outlineLevel="1" x14ac:dyDescent="0.25">
      <c r="A71" s="440"/>
      <c r="B71" s="431"/>
      <c r="C71" s="425"/>
      <c r="D71" s="425"/>
      <c r="E71" s="425"/>
      <c r="F71" s="425"/>
      <c r="G71" s="420"/>
      <c r="H71" s="420"/>
      <c r="I71" s="420"/>
      <c r="J71" s="420"/>
      <c r="K71" s="420"/>
      <c r="L71" s="432"/>
      <c r="M71" s="420"/>
      <c r="N71" s="514"/>
      <c r="O71" s="420"/>
      <c r="P71" s="515"/>
      <c r="Q71" s="420"/>
      <c r="R71" s="425"/>
      <c r="S71" s="516"/>
      <c r="T71" s="420"/>
      <c r="U71" s="515"/>
      <c r="V71" s="420"/>
      <c r="W71" s="425"/>
      <c r="X71" s="515"/>
      <c r="Y71" s="420"/>
      <c r="Z71" s="515"/>
      <c r="AA71" s="420"/>
      <c r="AB71" s="425"/>
      <c r="AC71" s="517"/>
      <c r="AD71" s="432"/>
      <c r="AE71" s="388"/>
      <c r="AF71" s="514"/>
      <c r="AG71" s="420"/>
      <c r="AH71" s="515"/>
      <c r="AI71" s="420"/>
      <c r="AJ71" s="425"/>
      <c r="AK71" s="516"/>
      <c r="AL71" s="420"/>
      <c r="AM71" s="515"/>
      <c r="AN71" s="420"/>
      <c r="AO71" s="425"/>
      <c r="AP71" s="515"/>
      <c r="AQ71" s="420"/>
      <c r="AR71" s="515"/>
      <c r="AS71" s="420"/>
      <c r="AT71" s="425"/>
      <c r="AU71" s="518"/>
      <c r="AV71" s="432"/>
      <c r="AW71" s="388"/>
      <c r="AX71" s="342"/>
      <c r="AY71" s="342"/>
      <c r="AZ71" s="342"/>
      <c r="BA71" s="342"/>
      <c r="BB71" s="342"/>
      <c r="BC71" s="342"/>
      <c r="BD71" s="342"/>
      <c r="BE71" s="342"/>
      <c r="BF71" s="342"/>
      <c r="BG71" s="342"/>
      <c r="BH71" s="342"/>
      <c r="BI71" s="342"/>
      <c r="BJ71" s="342"/>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c r="DQ71" s="388"/>
      <c r="DR71" s="388"/>
      <c r="DS71" s="388"/>
      <c r="DT71" s="388"/>
      <c r="DU71" s="388"/>
      <c r="DV71" s="388"/>
      <c r="DW71" s="388"/>
      <c r="DX71" s="388"/>
      <c r="DY71" s="388"/>
      <c r="DZ71" s="388"/>
      <c r="EA71" s="388"/>
      <c r="EB71" s="388"/>
      <c r="EC71" s="388"/>
      <c r="ED71" s="388"/>
      <c r="EE71" s="388"/>
      <c r="EF71" s="388"/>
    </row>
    <row r="72" spans="1:136" outlineLevel="1" x14ac:dyDescent="0.25">
      <c r="A72" s="440"/>
      <c r="B72" s="464" t="s">
        <v>7</v>
      </c>
      <c r="C72" s="425"/>
      <c r="D72" s="425"/>
      <c r="E72" s="425"/>
      <c r="F72" s="425"/>
      <c r="G72" s="519"/>
      <c r="H72" s="519"/>
      <c r="I72" s="434"/>
      <c r="J72" s="434"/>
      <c r="K72" s="425"/>
      <c r="L72" s="470"/>
      <c r="M72" s="420"/>
      <c r="N72" s="514"/>
      <c r="O72" s="420"/>
      <c r="P72" s="515"/>
      <c r="Q72" s="420"/>
      <c r="R72" s="425"/>
      <c r="S72" s="516"/>
      <c r="T72" s="420"/>
      <c r="U72" s="515"/>
      <c r="V72" s="420"/>
      <c r="W72" s="425"/>
      <c r="X72" s="515"/>
      <c r="Y72" s="420"/>
      <c r="Z72" s="515"/>
      <c r="AA72" s="420"/>
      <c r="AB72" s="425"/>
      <c r="AC72" s="517"/>
      <c r="AD72" s="432"/>
      <c r="AE72" s="388"/>
      <c r="AF72" s="514"/>
      <c r="AG72" s="420"/>
      <c r="AH72" s="515"/>
      <c r="AI72" s="420"/>
      <c r="AJ72" s="425"/>
      <c r="AK72" s="516"/>
      <c r="AL72" s="420"/>
      <c r="AM72" s="515"/>
      <c r="AN72" s="420"/>
      <c r="AO72" s="425"/>
      <c r="AP72" s="515"/>
      <c r="AQ72" s="420"/>
      <c r="AR72" s="515"/>
      <c r="AS72" s="420"/>
      <c r="AT72" s="425"/>
      <c r="AU72" s="518"/>
      <c r="AV72" s="432"/>
      <c r="AW72" s="388"/>
      <c r="AX72" s="342"/>
      <c r="AY72" s="342"/>
      <c r="AZ72" s="342"/>
      <c r="BA72" s="342"/>
      <c r="BB72" s="342"/>
      <c r="BC72" s="342"/>
      <c r="BD72" s="342"/>
      <c r="BE72" s="342"/>
      <c r="BF72" s="342"/>
      <c r="BG72" s="342"/>
      <c r="BH72" s="342"/>
      <c r="BI72" s="342"/>
      <c r="BJ72" s="342"/>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c r="DQ72" s="388"/>
      <c r="DR72" s="388"/>
      <c r="DS72" s="388"/>
      <c r="DT72" s="388"/>
      <c r="DU72" s="388"/>
      <c r="DV72" s="388"/>
      <c r="DW72" s="388"/>
      <c r="DX72" s="388"/>
      <c r="DY72" s="388"/>
      <c r="DZ72" s="388"/>
      <c r="EA72" s="388"/>
      <c r="EB72" s="388"/>
      <c r="EC72" s="388"/>
      <c r="ED72" s="388"/>
      <c r="EE72" s="388"/>
      <c r="EF72" s="388"/>
    </row>
    <row r="73" spans="1:136" outlineLevel="1" x14ac:dyDescent="0.25">
      <c r="A73" s="440"/>
      <c r="B73" s="472"/>
      <c r="C73" s="425"/>
      <c r="D73" s="425"/>
      <c r="E73" s="425"/>
      <c r="F73" s="425"/>
      <c r="G73" s="473"/>
      <c r="H73" s="427">
        <f>GENERALITES!$D$15</f>
        <v>0</v>
      </c>
      <c r="I73" s="436"/>
      <c r="J73" s="430" t="s">
        <v>2</v>
      </c>
      <c r="K73" s="425"/>
      <c r="L73" s="470"/>
      <c r="M73" s="420"/>
      <c r="N73" s="514"/>
      <c r="O73" s="420"/>
      <c r="P73" s="515"/>
      <c r="Q73" s="420"/>
      <c r="R73" s="425"/>
      <c r="S73" s="516"/>
      <c r="T73" s="420"/>
      <c r="U73" s="515"/>
      <c r="V73" s="420"/>
      <c r="W73" s="425"/>
      <c r="X73" s="515"/>
      <c r="Y73" s="420"/>
      <c r="Z73" s="515"/>
      <c r="AA73" s="420"/>
      <c r="AB73" s="425"/>
      <c r="AC73" s="517"/>
      <c r="AD73" s="432"/>
      <c r="AE73" s="388"/>
      <c r="AF73" s="514"/>
      <c r="AG73" s="420"/>
      <c r="AH73" s="515"/>
      <c r="AI73" s="420"/>
      <c r="AJ73" s="425"/>
      <c r="AK73" s="516"/>
      <c r="AL73" s="420"/>
      <c r="AM73" s="515"/>
      <c r="AN73" s="420"/>
      <c r="AO73" s="425"/>
      <c r="AP73" s="515"/>
      <c r="AQ73" s="420"/>
      <c r="AR73" s="515"/>
      <c r="AS73" s="420"/>
      <c r="AT73" s="425"/>
      <c r="AU73" s="518"/>
      <c r="AV73" s="432"/>
      <c r="AW73" s="388"/>
      <c r="AX73" s="342"/>
      <c r="AY73" s="342"/>
      <c r="AZ73" s="342"/>
      <c r="BA73" s="342"/>
      <c r="BB73" s="342"/>
      <c r="BC73" s="342"/>
      <c r="BD73" s="342"/>
      <c r="BE73" s="342"/>
      <c r="BF73" s="342"/>
      <c r="BG73" s="342"/>
      <c r="BH73" s="342"/>
      <c r="BI73" s="342"/>
      <c r="BJ73" s="342"/>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c r="DQ73" s="388"/>
      <c r="DR73" s="388"/>
      <c r="DS73" s="388"/>
      <c r="DT73" s="388"/>
      <c r="DU73" s="388"/>
      <c r="DV73" s="388"/>
      <c r="DW73" s="388"/>
      <c r="DX73" s="388"/>
      <c r="DY73" s="388"/>
      <c r="DZ73" s="388"/>
      <c r="EA73" s="388"/>
      <c r="EB73" s="388"/>
      <c r="EC73" s="388"/>
      <c r="ED73" s="388"/>
      <c r="EE73" s="388"/>
      <c r="EF73" s="388"/>
    </row>
    <row r="74" spans="1:136" outlineLevel="1" x14ac:dyDescent="0.25">
      <c r="A74" s="440"/>
      <c r="B74" s="472"/>
      <c r="C74" s="425"/>
      <c r="D74" s="425"/>
      <c r="E74" s="425"/>
      <c r="F74" s="425"/>
      <c r="G74" s="473"/>
      <c r="H74" s="427">
        <f>GENERALITES!$D$15</f>
        <v>0</v>
      </c>
      <c r="I74" s="436"/>
      <c r="J74" s="430" t="s">
        <v>2</v>
      </c>
      <c r="K74" s="425"/>
      <c r="L74" s="470"/>
      <c r="M74" s="420"/>
      <c r="N74" s="514"/>
      <c r="O74" s="420"/>
      <c r="P74" s="515"/>
      <c r="Q74" s="420"/>
      <c r="R74" s="425"/>
      <c r="S74" s="516"/>
      <c r="T74" s="420"/>
      <c r="U74" s="515"/>
      <c r="V74" s="420"/>
      <c r="W74" s="425"/>
      <c r="X74" s="515"/>
      <c r="Y74" s="420"/>
      <c r="Z74" s="515"/>
      <c r="AA74" s="420"/>
      <c r="AB74" s="425"/>
      <c r="AC74" s="517"/>
      <c r="AD74" s="432"/>
      <c r="AE74" s="388"/>
      <c r="AF74" s="514"/>
      <c r="AG74" s="420"/>
      <c r="AH74" s="515"/>
      <c r="AI74" s="420"/>
      <c r="AJ74" s="425"/>
      <c r="AK74" s="516"/>
      <c r="AL74" s="420"/>
      <c r="AM74" s="515"/>
      <c r="AN74" s="420"/>
      <c r="AO74" s="425"/>
      <c r="AP74" s="515"/>
      <c r="AQ74" s="420"/>
      <c r="AR74" s="515"/>
      <c r="AS74" s="420"/>
      <c r="AT74" s="425"/>
      <c r="AU74" s="518"/>
      <c r="AV74" s="432"/>
      <c r="AW74" s="388"/>
      <c r="AX74" s="342"/>
      <c r="AY74" s="342"/>
      <c r="AZ74" s="342"/>
      <c r="BA74" s="342"/>
      <c r="BB74" s="342"/>
      <c r="BC74" s="342"/>
      <c r="BD74" s="342"/>
      <c r="BE74" s="342"/>
      <c r="BF74" s="342"/>
      <c r="BG74" s="342"/>
      <c r="BH74" s="342"/>
      <c r="BI74" s="342"/>
      <c r="BJ74" s="342"/>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c r="DQ74" s="388"/>
      <c r="DR74" s="388"/>
      <c r="DS74" s="388"/>
      <c r="DT74" s="388"/>
      <c r="DU74" s="388"/>
      <c r="DV74" s="388"/>
      <c r="DW74" s="388"/>
      <c r="DX74" s="388"/>
      <c r="DY74" s="388"/>
      <c r="DZ74" s="388"/>
      <c r="EA74" s="388"/>
      <c r="EB74" s="388"/>
      <c r="EC74" s="388"/>
      <c r="ED74" s="388"/>
      <c r="EE74" s="388"/>
      <c r="EF74" s="388"/>
    </row>
    <row r="75" spans="1:136" outlineLevel="1" x14ac:dyDescent="0.25">
      <c r="A75" s="440"/>
      <c r="B75" s="472"/>
      <c r="C75" s="425"/>
      <c r="D75" s="425"/>
      <c r="E75" s="425"/>
      <c r="F75" s="425"/>
      <c r="G75" s="473"/>
      <c r="H75" s="427">
        <f>GENERALITES!$D$15</f>
        <v>0</v>
      </c>
      <c r="I75" s="436"/>
      <c r="J75" s="430" t="s">
        <v>2</v>
      </c>
      <c r="K75" s="425"/>
      <c r="L75" s="470"/>
      <c r="M75" s="420"/>
      <c r="N75" s="514"/>
      <c r="O75" s="420"/>
      <c r="P75" s="515"/>
      <c r="Q75" s="420"/>
      <c r="R75" s="425"/>
      <c r="S75" s="516"/>
      <c r="T75" s="420"/>
      <c r="U75" s="515"/>
      <c r="V75" s="420"/>
      <c r="W75" s="425"/>
      <c r="X75" s="515"/>
      <c r="Y75" s="420"/>
      <c r="Z75" s="515"/>
      <c r="AA75" s="420"/>
      <c r="AB75" s="425"/>
      <c r="AC75" s="517"/>
      <c r="AD75" s="432"/>
      <c r="AE75" s="388"/>
      <c r="AF75" s="514"/>
      <c r="AG75" s="420"/>
      <c r="AH75" s="515"/>
      <c r="AI75" s="420"/>
      <c r="AJ75" s="425"/>
      <c r="AK75" s="516"/>
      <c r="AL75" s="420"/>
      <c r="AM75" s="515"/>
      <c r="AN75" s="420"/>
      <c r="AO75" s="425"/>
      <c r="AP75" s="515"/>
      <c r="AQ75" s="420"/>
      <c r="AR75" s="515"/>
      <c r="AS75" s="420"/>
      <c r="AT75" s="425"/>
      <c r="AU75" s="518"/>
      <c r="AV75" s="432"/>
      <c r="AW75" s="388"/>
      <c r="AX75" s="342"/>
      <c r="AY75" s="342"/>
      <c r="AZ75" s="342"/>
      <c r="BA75" s="342"/>
      <c r="BB75" s="342"/>
      <c r="BC75" s="342"/>
      <c r="BD75" s="342"/>
      <c r="BE75" s="342"/>
      <c r="BF75" s="342"/>
      <c r="BG75" s="342"/>
      <c r="BH75" s="342"/>
      <c r="BI75" s="342"/>
      <c r="BJ75" s="342"/>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c r="DQ75" s="388"/>
      <c r="DR75" s="388"/>
      <c r="DS75" s="388"/>
      <c r="DT75" s="388"/>
      <c r="DU75" s="388"/>
      <c r="DV75" s="388"/>
      <c r="DW75" s="388"/>
      <c r="DX75" s="388"/>
      <c r="DY75" s="388"/>
      <c r="DZ75" s="388"/>
      <c r="EA75" s="388"/>
      <c r="EB75" s="388"/>
      <c r="EC75" s="388"/>
      <c r="ED75" s="388"/>
      <c r="EE75" s="388"/>
      <c r="EF75" s="388"/>
    </row>
    <row r="76" spans="1:136" outlineLevel="1" x14ac:dyDescent="0.25">
      <c r="A76" s="440"/>
      <c r="B76" s="472"/>
      <c r="C76" s="425"/>
      <c r="D76" s="425"/>
      <c r="E76" s="425"/>
      <c r="F76" s="425"/>
      <c r="G76" s="473"/>
      <c r="H76" s="427">
        <f>GENERALITES!$D$15</f>
        <v>0</v>
      </c>
      <c r="I76" s="436"/>
      <c r="J76" s="430" t="s">
        <v>2</v>
      </c>
      <c r="K76" s="425"/>
      <c r="L76" s="470"/>
      <c r="M76" s="420"/>
      <c r="N76" s="514"/>
      <c r="O76" s="420"/>
      <c r="P76" s="515"/>
      <c r="Q76" s="420"/>
      <c r="R76" s="425"/>
      <c r="S76" s="516"/>
      <c r="T76" s="420"/>
      <c r="U76" s="515"/>
      <c r="V76" s="420"/>
      <c r="W76" s="425"/>
      <c r="X76" s="515"/>
      <c r="Y76" s="420"/>
      <c r="Z76" s="515"/>
      <c r="AA76" s="420"/>
      <c r="AB76" s="425"/>
      <c r="AC76" s="517"/>
      <c r="AD76" s="432"/>
      <c r="AE76" s="388"/>
      <c r="AF76" s="514"/>
      <c r="AG76" s="420"/>
      <c r="AH76" s="515"/>
      <c r="AI76" s="420"/>
      <c r="AJ76" s="425"/>
      <c r="AK76" s="516"/>
      <c r="AL76" s="420"/>
      <c r="AM76" s="515"/>
      <c r="AN76" s="420"/>
      <c r="AO76" s="425"/>
      <c r="AP76" s="515"/>
      <c r="AQ76" s="420"/>
      <c r="AR76" s="515"/>
      <c r="AS76" s="420"/>
      <c r="AT76" s="425"/>
      <c r="AU76" s="518"/>
      <c r="AV76" s="432"/>
      <c r="AW76" s="388"/>
      <c r="AX76" s="342"/>
      <c r="AY76" s="342"/>
      <c r="AZ76" s="342"/>
      <c r="BA76" s="342"/>
      <c r="BB76" s="342"/>
      <c r="BC76" s="342"/>
      <c r="BD76" s="342"/>
      <c r="BE76" s="342"/>
      <c r="BF76" s="342"/>
      <c r="BG76" s="342"/>
      <c r="BH76" s="342"/>
      <c r="BI76" s="342"/>
      <c r="BJ76" s="342"/>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c r="EA76" s="388"/>
      <c r="EB76" s="388"/>
      <c r="EC76" s="388"/>
      <c r="ED76" s="388"/>
      <c r="EE76" s="388"/>
      <c r="EF76" s="388"/>
    </row>
    <row r="77" spans="1:136"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8"/>
      <c r="W77" s="478"/>
      <c r="X77" s="478"/>
      <c r="Y77" s="478"/>
      <c r="Z77" s="478"/>
      <c r="AA77" s="478"/>
      <c r="AB77" s="478"/>
      <c r="AC77" s="478"/>
      <c r="AD77" s="479"/>
      <c r="AE77" s="440"/>
      <c r="AF77" s="444"/>
      <c r="AG77" s="445"/>
      <c r="AH77" s="445"/>
      <c r="AI77" s="445"/>
      <c r="AJ77" s="445"/>
      <c r="AK77" s="445"/>
      <c r="AL77" s="445"/>
      <c r="AM77" s="445"/>
      <c r="AN77" s="445"/>
      <c r="AO77" s="445"/>
      <c r="AP77" s="445"/>
      <c r="AQ77" s="445"/>
      <c r="AR77" s="445"/>
      <c r="AS77" s="445"/>
      <c r="AT77" s="445"/>
      <c r="AU77" s="445"/>
      <c r="AV77" s="446"/>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c r="DQ77" s="388"/>
      <c r="DR77" s="388"/>
      <c r="DS77" s="388"/>
      <c r="DT77" s="388"/>
      <c r="DU77" s="388"/>
      <c r="DV77" s="388"/>
      <c r="DW77" s="388"/>
      <c r="DX77" s="388"/>
      <c r="DY77" s="388"/>
      <c r="DZ77" s="388"/>
      <c r="EA77" s="388"/>
      <c r="EB77" s="388"/>
      <c r="EC77" s="388"/>
      <c r="ED77" s="388"/>
      <c r="EE77" s="388"/>
      <c r="EF77" s="388"/>
    </row>
    <row r="78" spans="1:136" ht="21.75" customHeight="1" thickBot="1" x14ac:dyDescent="0.3">
      <c r="A78" s="440"/>
      <c r="B78" s="534" t="s">
        <v>29</v>
      </c>
      <c r="C78" s="535"/>
      <c r="D78" s="535"/>
      <c r="E78" s="535"/>
      <c r="F78" s="535"/>
      <c r="G78" s="535"/>
      <c r="H78" s="536"/>
      <c r="I78" s="342"/>
      <c r="J78" s="342"/>
      <c r="K78" s="342"/>
      <c r="L78" s="342"/>
      <c r="M78" s="342"/>
      <c r="N78" s="342"/>
      <c r="O78" s="342"/>
      <c r="P78" s="342"/>
      <c r="Q78" s="342"/>
      <c r="R78" s="342"/>
      <c r="S78" s="342"/>
      <c r="T78" s="342"/>
      <c r="U78" s="342"/>
      <c r="V78" s="342"/>
      <c r="W78" s="342"/>
      <c r="X78" s="342"/>
      <c r="Y78" s="342"/>
      <c r="Z78" s="342"/>
      <c r="AA78" s="342"/>
      <c r="AB78" s="342"/>
      <c r="AC78" s="342"/>
      <c r="AD78" s="342"/>
      <c r="AE78" s="440"/>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row>
    <row r="79" spans="1:136" outlineLevel="1" x14ac:dyDescent="0.25">
      <c r="B79" s="412"/>
      <c r="C79" s="413"/>
      <c r="D79" s="413"/>
      <c r="E79" s="413"/>
      <c r="F79" s="413"/>
      <c r="G79" s="413"/>
      <c r="H79" s="413"/>
      <c r="I79" s="413"/>
      <c r="J79" s="413"/>
      <c r="K79" s="413"/>
      <c r="L79" s="414"/>
      <c r="N79" s="412"/>
      <c r="O79" s="413"/>
      <c r="P79" s="413"/>
      <c r="Q79" s="413"/>
      <c r="R79" s="413"/>
      <c r="S79" s="413"/>
      <c r="T79" s="413"/>
      <c r="U79" s="413"/>
      <c r="V79" s="413"/>
      <c r="W79" s="413"/>
      <c r="X79" s="413"/>
      <c r="Y79" s="413"/>
      <c r="Z79" s="413"/>
      <c r="AA79" s="413"/>
      <c r="AB79" s="413"/>
      <c r="AC79" s="413"/>
      <c r="AD79" s="414"/>
    </row>
    <row r="80" spans="1:136"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289"/>
      <c r="W80" s="289"/>
      <c r="X80" s="289"/>
      <c r="Y80" s="289"/>
      <c r="Z80" s="289"/>
      <c r="AA80" s="289"/>
      <c r="AB80" s="289"/>
      <c r="AC80" s="289"/>
      <c r="AD80" s="419"/>
      <c r="AE80" s="388"/>
      <c r="AF80" s="342"/>
      <c r="AG80" s="342"/>
      <c r="AH80" s="342"/>
      <c r="AI80" s="342"/>
      <c r="AJ80" s="342"/>
      <c r="AK80" s="342"/>
      <c r="AL80" s="342"/>
      <c r="AM80" s="342"/>
      <c r="AN80" s="342"/>
      <c r="AO80" s="342"/>
      <c r="AP80" s="342"/>
      <c r="AQ80" s="342"/>
      <c r="AR80" s="342"/>
      <c r="AS80" s="342"/>
      <c r="AT80" s="342"/>
      <c r="AU80" s="342"/>
      <c r="AV80" s="342"/>
      <c r="AX80" s="342"/>
      <c r="AY80" s="342"/>
      <c r="AZ80" s="342"/>
      <c r="BA80" s="342"/>
      <c r="BB80" s="342"/>
      <c r="BC80" s="342"/>
      <c r="BD80" s="342"/>
      <c r="BE80" s="342"/>
      <c r="BF80" s="342"/>
      <c r="BG80" s="342"/>
      <c r="BH80" s="342"/>
      <c r="BI80" s="342"/>
      <c r="BJ80" s="342"/>
    </row>
    <row r="81" spans="1:136" ht="43.5" customHeight="1" outlineLevel="1" x14ac:dyDescent="0.25">
      <c r="B81" s="464" t="s">
        <v>17</v>
      </c>
      <c r="C81" s="425"/>
      <c r="D81" s="425"/>
      <c r="E81" s="425"/>
      <c r="F81" s="425"/>
      <c r="G81" s="422" t="s">
        <v>273</v>
      </c>
      <c r="H81" s="270"/>
      <c r="I81" s="422" t="s">
        <v>274</v>
      </c>
      <c r="J81" s="447"/>
      <c r="K81" s="447"/>
      <c r="L81" s="401"/>
      <c r="M81" s="342"/>
      <c r="N81" s="269" t="s">
        <v>102</v>
      </c>
      <c r="O81" s="270"/>
      <c r="P81" s="422" t="s">
        <v>275</v>
      </c>
      <c r="Q81" s="270"/>
      <c r="R81" s="425"/>
      <c r="S81" s="422" t="s">
        <v>103</v>
      </c>
      <c r="T81" s="270"/>
      <c r="U81" s="422" t="s">
        <v>104</v>
      </c>
      <c r="V81" s="270"/>
      <c r="W81" s="425"/>
      <c r="X81" s="422" t="s">
        <v>276</v>
      </c>
      <c r="Y81" s="270"/>
      <c r="Z81" s="422" t="s">
        <v>277</v>
      </c>
      <c r="AA81" s="270"/>
      <c r="AB81" s="425"/>
      <c r="AC81" s="422" t="s">
        <v>278</v>
      </c>
      <c r="AD81" s="401"/>
      <c r="AE81" s="388"/>
      <c r="AF81" s="388"/>
      <c r="AG81" s="388"/>
      <c r="AH81" s="388"/>
      <c r="AI81" s="388"/>
      <c r="AJ81" s="388"/>
      <c r="AK81" s="388"/>
      <c r="AL81" s="388"/>
      <c r="AM81" s="388"/>
      <c r="AN81" s="388"/>
      <c r="AO81" s="388"/>
      <c r="AP81" s="388"/>
      <c r="AQ81" s="388"/>
      <c r="AR81" s="388"/>
      <c r="AS81" s="388"/>
      <c r="AT81" s="388"/>
      <c r="AU81" s="388"/>
      <c r="AV81" s="388"/>
      <c r="AX81" s="342"/>
      <c r="AY81" s="342"/>
      <c r="AZ81" s="342"/>
      <c r="BA81" s="342"/>
      <c r="BB81" s="342"/>
      <c r="BC81" s="342"/>
      <c r="BD81" s="342"/>
      <c r="BE81" s="342"/>
      <c r="BF81" s="342"/>
      <c r="BG81" s="342"/>
      <c r="BH81" s="342"/>
      <c r="BI81" s="342"/>
      <c r="BJ81" s="342"/>
    </row>
    <row r="82" spans="1:136" outlineLevel="1" x14ac:dyDescent="0.25">
      <c r="B82" s="435" t="s">
        <v>18</v>
      </c>
      <c r="C82" s="425"/>
      <c r="D82" s="425"/>
      <c r="E82" s="425"/>
      <c r="F82" s="425"/>
      <c r="G82" s="469"/>
      <c r="H82" s="427" t="str">
        <f>GENERALITES!$D$16</f>
        <v>L</v>
      </c>
      <c r="I82" s="485">
        <f>$N$10</f>
        <v>0</v>
      </c>
      <c r="J82" s="449" t="s">
        <v>2</v>
      </c>
      <c r="K82" s="302">
        <f>IF(B82=Annexes!$B$3,G82*I82/100,SUMPRODUCT(G85:G88,I85:I88/100))</f>
        <v>0</v>
      </c>
      <c r="L82" s="428" t="str">
        <f>GENERALITES!$D$16</f>
        <v>L</v>
      </c>
      <c r="M82" s="342"/>
      <c r="N82" s="437">
        <f>GENERALITES!$D$49</f>
        <v>0.3</v>
      </c>
      <c r="O82" s="427" t="str">
        <f>GENERALITES!$E$49</f>
        <v>€ / L</v>
      </c>
      <c r="P82" s="302">
        <f>IF(B82=Annexes!$B$3,G82*N82,SUM(G85:G88)*N82)</f>
        <v>0</v>
      </c>
      <c r="Q82" s="427" t="s">
        <v>6</v>
      </c>
      <c r="R82" s="425"/>
      <c r="S82" s="302">
        <f>'ETAPE 2'!Z82</f>
        <v>11.744236624619401</v>
      </c>
      <c r="T82" s="427" t="s">
        <v>72</v>
      </c>
      <c r="U82" s="448">
        <f>S82*$B$10</f>
        <v>264.24532405393649</v>
      </c>
      <c r="V82" s="427" t="s">
        <v>6</v>
      </c>
      <c r="W82" s="425"/>
      <c r="X82" s="302">
        <f>P82+U82</f>
        <v>264.24532405393649</v>
      </c>
      <c r="Y82" s="427" t="s">
        <v>6</v>
      </c>
      <c r="Z82" s="302">
        <f>IF($E$10&lt;&gt;0,X82/$E$10,0)</f>
        <v>53.382893748269993</v>
      </c>
      <c r="AA82" s="427" t="s">
        <v>72</v>
      </c>
      <c r="AB82" s="425"/>
      <c r="AC82" s="302">
        <f>$N$10/100*U82+IF(B82=Annexes!$B$3,I82/100*P82,IF(SUM(G85:G88)&gt;0,K82/SUM(G85:G88)*P82,0))</f>
        <v>0</v>
      </c>
      <c r="AD82" s="428" t="s">
        <v>6</v>
      </c>
      <c r="AE82" s="388"/>
      <c r="AF82" s="388"/>
      <c r="AG82" s="388"/>
      <c r="AH82" s="388"/>
      <c r="AI82" s="388"/>
      <c r="AJ82" s="388"/>
      <c r="AK82" s="388"/>
      <c r="AL82" s="388"/>
      <c r="AM82" s="388"/>
      <c r="AN82" s="388"/>
      <c r="AO82" s="388"/>
      <c r="AP82" s="388"/>
      <c r="AQ82" s="388"/>
      <c r="AR82" s="388"/>
      <c r="AS82" s="388"/>
      <c r="AT82" s="388"/>
      <c r="AU82" s="388"/>
      <c r="AV82" s="388"/>
      <c r="AX82" s="342"/>
      <c r="AY82" s="342"/>
      <c r="AZ82" s="342"/>
      <c r="BA82" s="342"/>
      <c r="BB82" s="342"/>
      <c r="BC82" s="342"/>
      <c r="BD82" s="342"/>
      <c r="BE82" s="342"/>
      <c r="BF82" s="342"/>
      <c r="BG82" s="342"/>
      <c r="BH82" s="342"/>
      <c r="BI82" s="342"/>
      <c r="BJ82" s="342"/>
    </row>
    <row r="83" spans="1:136" outlineLevel="1" x14ac:dyDescent="0.25">
      <c r="B83" s="431"/>
      <c r="C83" s="425"/>
      <c r="D83" s="425"/>
      <c r="E83" s="425"/>
      <c r="F83" s="425"/>
      <c r="G83" s="420"/>
      <c r="H83" s="420"/>
      <c r="I83" s="420"/>
      <c r="J83" s="420"/>
      <c r="K83" s="420"/>
      <c r="L83" s="432"/>
      <c r="M83" s="342"/>
      <c r="N83" s="514"/>
      <c r="O83" s="420"/>
      <c r="P83" s="515"/>
      <c r="Q83" s="420"/>
      <c r="R83" s="425"/>
      <c r="S83" s="516"/>
      <c r="T83" s="420"/>
      <c r="U83" s="515"/>
      <c r="V83" s="420"/>
      <c r="W83" s="425"/>
      <c r="X83" s="515"/>
      <c r="Y83" s="420"/>
      <c r="Z83" s="515"/>
      <c r="AA83" s="420"/>
      <c r="AB83" s="425"/>
      <c r="AC83" s="517"/>
      <c r="AD83" s="432"/>
      <c r="AE83" s="388"/>
      <c r="AF83" s="388"/>
      <c r="AG83" s="388"/>
      <c r="AH83" s="388"/>
      <c r="AI83" s="388"/>
      <c r="AJ83" s="388"/>
      <c r="AK83" s="388"/>
      <c r="AL83" s="388"/>
      <c r="AM83" s="388"/>
      <c r="AN83" s="388"/>
      <c r="AO83" s="388"/>
      <c r="AP83" s="388"/>
      <c r="AQ83" s="388"/>
      <c r="AR83" s="388"/>
      <c r="AS83" s="388"/>
      <c r="AT83" s="388"/>
      <c r="AU83" s="388"/>
      <c r="AV83" s="388"/>
      <c r="AX83" s="342"/>
      <c r="AY83" s="342"/>
      <c r="AZ83" s="342"/>
      <c r="BA83" s="342"/>
      <c r="BB83" s="342"/>
      <c r="BC83" s="342"/>
      <c r="BD83" s="342"/>
      <c r="BE83" s="342"/>
      <c r="BF83" s="342"/>
      <c r="BG83" s="342"/>
      <c r="BH83" s="342"/>
      <c r="BI83" s="342"/>
      <c r="BJ83" s="342"/>
    </row>
    <row r="84" spans="1:136" outlineLevel="1" x14ac:dyDescent="0.25">
      <c r="B84" s="464" t="s">
        <v>7</v>
      </c>
      <c r="C84" s="425"/>
      <c r="D84" s="425"/>
      <c r="E84" s="425"/>
      <c r="F84" s="425"/>
      <c r="G84" s="519"/>
      <c r="H84" s="519"/>
      <c r="I84" s="434"/>
      <c r="J84" s="434"/>
      <c r="K84" s="425"/>
      <c r="L84" s="470"/>
      <c r="M84" s="342"/>
      <c r="N84" s="514"/>
      <c r="O84" s="420"/>
      <c r="P84" s="515"/>
      <c r="Q84" s="420"/>
      <c r="R84" s="425"/>
      <c r="S84" s="516"/>
      <c r="T84" s="420"/>
      <c r="U84" s="515"/>
      <c r="V84" s="420"/>
      <c r="W84" s="425"/>
      <c r="X84" s="515"/>
      <c r="Y84" s="420"/>
      <c r="Z84" s="515"/>
      <c r="AA84" s="420"/>
      <c r="AB84" s="425"/>
      <c r="AC84" s="517"/>
      <c r="AD84" s="432"/>
      <c r="AE84" s="388"/>
      <c r="AF84" s="388"/>
      <c r="AG84" s="388"/>
      <c r="AH84" s="388"/>
      <c r="AI84" s="388"/>
      <c r="AJ84" s="388"/>
      <c r="AK84" s="388"/>
      <c r="AL84" s="388"/>
      <c r="AM84" s="388"/>
      <c r="AN84" s="388"/>
      <c r="AO84" s="388"/>
      <c r="AP84" s="388"/>
      <c r="AQ84" s="388"/>
      <c r="AR84" s="388"/>
      <c r="AS84" s="388"/>
      <c r="AT84" s="388"/>
      <c r="AU84" s="388"/>
      <c r="AV84" s="388"/>
      <c r="AX84" s="342"/>
      <c r="AY84" s="342"/>
      <c r="AZ84" s="342"/>
      <c r="BA84" s="342"/>
      <c r="BB84" s="342"/>
      <c r="BC84" s="342"/>
      <c r="BD84" s="342"/>
      <c r="BE84" s="342"/>
      <c r="BF84" s="342"/>
      <c r="BG84" s="342"/>
      <c r="BH84" s="342"/>
      <c r="BI84" s="342"/>
      <c r="BJ84" s="342"/>
    </row>
    <row r="85" spans="1:136" outlineLevel="1" x14ac:dyDescent="0.25">
      <c r="B85" s="472"/>
      <c r="C85" s="425"/>
      <c r="D85" s="425"/>
      <c r="E85" s="425"/>
      <c r="F85" s="425"/>
      <c r="G85" s="473"/>
      <c r="H85" s="474" t="str">
        <f>GENERALITES!$D$16</f>
        <v>L</v>
      </c>
      <c r="I85" s="436"/>
      <c r="J85" s="430" t="s">
        <v>2</v>
      </c>
      <c r="K85" s="425"/>
      <c r="L85" s="470"/>
      <c r="M85" s="342"/>
      <c r="N85" s="514"/>
      <c r="O85" s="420"/>
      <c r="P85" s="515"/>
      <c r="Q85" s="420"/>
      <c r="R85" s="425"/>
      <c r="S85" s="516"/>
      <c r="T85" s="420"/>
      <c r="U85" s="515"/>
      <c r="V85" s="420"/>
      <c r="W85" s="425"/>
      <c r="X85" s="515"/>
      <c r="Y85" s="420"/>
      <c r="Z85" s="515"/>
      <c r="AA85" s="420"/>
      <c r="AB85" s="425"/>
      <c r="AC85" s="517"/>
      <c r="AD85" s="432"/>
      <c r="AE85" s="388"/>
      <c r="AF85" s="388"/>
      <c r="AG85" s="388"/>
      <c r="AH85" s="388"/>
      <c r="AI85" s="388"/>
      <c r="AJ85" s="388"/>
      <c r="AK85" s="388"/>
      <c r="AL85" s="388"/>
      <c r="AM85" s="388"/>
      <c r="AN85" s="388"/>
      <c r="AO85" s="388"/>
      <c r="AP85" s="388"/>
      <c r="AQ85" s="388"/>
      <c r="AR85" s="388"/>
      <c r="AS85" s="388"/>
      <c r="AT85" s="388"/>
      <c r="AU85" s="388"/>
      <c r="AV85" s="388"/>
      <c r="AX85" s="342"/>
      <c r="AY85" s="342"/>
      <c r="AZ85" s="342"/>
      <c r="BA85" s="342"/>
      <c r="BB85" s="342"/>
      <c r="BC85" s="342"/>
      <c r="BD85" s="342"/>
      <c r="BE85" s="342"/>
      <c r="BF85" s="342"/>
      <c r="BG85" s="342"/>
      <c r="BH85" s="342"/>
      <c r="BI85" s="342"/>
      <c r="BJ85" s="342"/>
    </row>
    <row r="86" spans="1:136" outlineLevel="1" x14ac:dyDescent="0.25">
      <c r="B86" s="472"/>
      <c r="C86" s="425"/>
      <c r="D86" s="425"/>
      <c r="E86" s="425"/>
      <c r="F86" s="425"/>
      <c r="G86" s="473"/>
      <c r="H86" s="474" t="str">
        <f>GENERALITES!$D$16</f>
        <v>L</v>
      </c>
      <c r="I86" s="436"/>
      <c r="J86" s="430" t="s">
        <v>2</v>
      </c>
      <c r="K86" s="425"/>
      <c r="L86" s="470"/>
      <c r="M86" s="342"/>
      <c r="N86" s="514"/>
      <c r="O86" s="420"/>
      <c r="P86" s="515"/>
      <c r="Q86" s="420"/>
      <c r="R86" s="425"/>
      <c r="S86" s="516"/>
      <c r="T86" s="420"/>
      <c r="U86" s="515"/>
      <c r="V86" s="420"/>
      <c r="W86" s="425"/>
      <c r="X86" s="515"/>
      <c r="Y86" s="420"/>
      <c r="Z86" s="515"/>
      <c r="AA86" s="420"/>
      <c r="AB86" s="425"/>
      <c r="AC86" s="517"/>
      <c r="AD86" s="432"/>
      <c r="AE86" s="388"/>
      <c r="AF86" s="388"/>
      <c r="AG86" s="388"/>
      <c r="AH86" s="388"/>
      <c r="AI86" s="388"/>
      <c r="AJ86" s="388"/>
      <c r="AK86" s="388"/>
      <c r="AL86" s="388"/>
      <c r="AM86" s="388"/>
      <c r="AN86" s="388"/>
      <c r="AO86" s="388"/>
      <c r="AP86" s="388"/>
      <c r="AQ86" s="388"/>
      <c r="AR86" s="388"/>
      <c r="AS86" s="388"/>
      <c r="AT86" s="388"/>
      <c r="AU86" s="388"/>
      <c r="AV86" s="388"/>
      <c r="AX86" s="342"/>
      <c r="AY86" s="342"/>
      <c r="AZ86" s="342"/>
      <c r="BA86" s="342"/>
      <c r="BB86" s="342"/>
      <c r="BC86" s="342"/>
      <c r="BD86" s="342"/>
      <c r="BE86" s="342"/>
      <c r="BF86" s="342"/>
      <c r="BG86" s="342"/>
      <c r="BH86" s="342"/>
      <c r="BI86" s="342"/>
      <c r="BJ86" s="342"/>
    </row>
    <row r="87" spans="1:136" outlineLevel="1" x14ac:dyDescent="0.25">
      <c r="B87" s="472"/>
      <c r="C87" s="425"/>
      <c r="D87" s="425"/>
      <c r="E87" s="425"/>
      <c r="F87" s="425"/>
      <c r="G87" s="473"/>
      <c r="H87" s="474" t="str">
        <f>GENERALITES!$D$16</f>
        <v>L</v>
      </c>
      <c r="I87" s="436"/>
      <c r="J87" s="430" t="s">
        <v>2</v>
      </c>
      <c r="K87" s="425"/>
      <c r="L87" s="470"/>
      <c r="M87" s="342"/>
      <c r="N87" s="514"/>
      <c r="O87" s="420"/>
      <c r="P87" s="515"/>
      <c r="Q87" s="420"/>
      <c r="R87" s="425"/>
      <c r="S87" s="516"/>
      <c r="T87" s="420"/>
      <c r="U87" s="515"/>
      <c r="V87" s="420"/>
      <c r="W87" s="425"/>
      <c r="X87" s="515"/>
      <c r="Y87" s="420"/>
      <c r="Z87" s="515"/>
      <c r="AA87" s="420"/>
      <c r="AB87" s="425"/>
      <c r="AC87" s="517"/>
      <c r="AD87" s="432"/>
      <c r="AE87" s="388"/>
      <c r="AF87" s="388"/>
      <c r="AG87" s="388"/>
      <c r="AH87" s="388"/>
      <c r="AI87" s="388"/>
      <c r="AJ87" s="388"/>
      <c r="AK87" s="388"/>
      <c r="AL87" s="388"/>
      <c r="AM87" s="388"/>
      <c r="AN87" s="388"/>
      <c r="AO87" s="388"/>
      <c r="AP87" s="388"/>
      <c r="AQ87" s="388"/>
      <c r="AR87" s="388"/>
      <c r="AS87" s="388"/>
      <c r="AT87" s="388"/>
      <c r="AU87" s="388"/>
      <c r="AV87" s="388"/>
      <c r="AX87" s="342"/>
      <c r="AY87" s="342"/>
      <c r="AZ87" s="342"/>
      <c r="BA87" s="342"/>
      <c r="BB87" s="342"/>
      <c r="BC87" s="342"/>
      <c r="BD87" s="342"/>
      <c r="BE87" s="342"/>
      <c r="BF87" s="342"/>
      <c r="BG87" s="342"/>
      <c r="BH87" s="342"/>
      <c r="BI87" s="342"/>
      <c r="BJ87" s="342"/>
    </row>
    <row r="88" spans="1:136" outlineLevel="1" x14ac:dyDescent="0.25">
      <c r="B88" s="472"/>
      <c r="C88" s="425"/>
      <c r="D88" s="425"/>
      <c r="E88" s="425"/>
      <c r="F88" s="425"/>
      <c r="G88" s="473"/>
      <c r="H88" s="474" t="str">
        <f>GENERALITES!$D$16</f>
        <v>L</v>
      </c>
      <c r="I88" s="436"/>
      <c r="J88" s="430" t="s">
        <v>2</v>
      </c>
      <c r="K88" s="425"/>
      <c r="L88" s="470"/>
      <c r="M88" s="342"/>
      <c r="N88" s="514"/>
      <c r="O88" s="420"/>
      <c r="P88" s="515"/>
      <c r="Q88" s="420"/>
      <c r="R88" s="425"/>
      <c r="S88" s="516"/>
      <c r="T88" s="420"/>
      <c r="U88" s="515"/>
      <c r="V88" s="420"/>
      <c r="W88" s="425"/>
      <c r="X88" s="515"/>
      <c r="Y88" s="420"/>
      <c r="Z88" s="515"/>
      <c r="AA88" s="420"/>
      <c r="AB88" s="425"/>
      <c r="AC88" s="517"/>
      <c r="AD88" s="432"/>
      <c r="AE88" s="388"/>
      <c r="AF88" s="388"/>
      <c r="AG88" s="388"/>
      <c r="AH88" s="388"/>
      <c r="AI88" s="388"/>
      <c r="AJ88" s="388"/>
      <c r="AK88" s="388"/>
      <c r="AL88" s="388"/>
      <c r="AM88" s="388"/>
      <c r="AN88" s="388"/>
      <c r="AO88" s="388"/>
      <c r="AP88" s="388"/>
      <c r="AQ88" s="388"/>
      <c r="AR88" s="388"/>
      <c r="AS88" s="388"/>
      <c r="AT88" s="388"/>
      <c r="AU88" s="388"/>
      <c r="AV88" s="388"/>
      <c r="AX88" s="342"/>
      <c r="AY88" s="342"/>
      <c r="AZ88" s="342"/>
      <c r="BA88" s="342"/>
      <c r="BB88" s="342"/>
      <c r="BC88" s="342"/>
      <c r="BD88" s="342"/>
      <c r="BE88" s="342"/>
      <c r="BF88" s="342"/>
      <c r="BG88" s="342"/>
      <c r="BH88" s="342"/>
      <c r="BI88" s="342"/>
      <c r="BJ88" s="342"/>
    </row>
    <row r="89" spans="1:136" ht="15.75" thickBot="1" x14ac:dyDescent="0.3">
      <c r="A89" s="440"/>
      <c r="B89" s="477"/>
      <c r="C89" s="478"/>
      <c r="D89" s="478"/>
      <c r="E89" s="478"/>
      <c r="F89" s="478"/>
      <c r="G89" s="478"/>
      <c r="H89" s="478"/>
      <c r="I89" s="478"/>
      <c r="J89" s="478"/>
      <c r="K89" s="478"/>
      <c r="L89" s="479"/>
      <c r="M89" s="440"/>
      <c r="N89" s="477"/>
      <c r="O89" s="478"/>
      <c r="P89" s="478"/>
      <c r="Q89" s="478"/>
      <c r="R89" s="478"/>
      <c r="S89" s="478"/>
      <c r="T89" s="478"/>
      <c r="U89" s="478"/>
      <c r="V89" s="478"/>
      <c r="W89" s="478"/>
      <c r="X89" s="478"/>
      <c r="Y89" s="478"/>
      <c r="Z89" s="478"/>
      <c r="AA89" s="478"/>
      <c r="AB89" s="478"/>
      <c r="AC89" s="478"/>
      <c r="AD89" s="479"/>
      <c r="AE89" s="440"/>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c r="DQ89" s="388"/>
      <c r="DR89" s="388"/>
      <c r="DS89" s="388"/>
      <c r="DT89" s="388"/>
      <c r="DU89" s="388"/>
      <c r="DV89" s="388"/>
      <c r="DW89" s="388"/>
      <c r="DX89" s="388"/>
      <c r="DY89" s="388"/>
      <c r="DZ89" s="388"/>
      <c r="EA89" s="388"/>
      <c r="EB89" s="388"/>
      <c r="EC89" s="388"/>
      <c r="ED89" s="388"/>
      <c r="EE89" s="388"/>
      <c r="EF89" s="388"/>
    </row>
    <row r="90" spans="1:136" ht="30" customHeight="1" thickBot="1" x14ac:dyDescent="0.3">
      <c r="A90" s="388"/>
      <c r="B90" s="499" t="s">
        <v>65</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1"/>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row>
    <row r="91" spans="1:136" outlineLevel="1" x14ac:dyDescent="0.25">
      <c r="B91" s="412"/>
      <c r="C91" s="413"/>
      <c r="D91" s="413"/>
      <c r="E91" s="413"/>
      <c r="F91" s="413"/>
      <c r="G91" s="413"/>
      <c r="H91" s="413"/>
      <c r="I91" s="413"/>
      <c r="J91" s="413"/>
      <c r="K91" s="413"/>
      <c r="L91" s="414"/>
      <c r="N91" s="412"/>
      <c r="O91" s="413"/>
      <c r="P91" s="413"/>
      <c r="Q91" s="413"/>
      <c r="R91" s="413"/>
      <c r="S91" s="413"/>
      <c r="T91" s="413"/>
      <c r="U91" s="413"/>
      <c r="V91" s="413"/>
      <c r="W91" s="413"/>
      <c r="X91" s="413"/>
      <c r="Y91" s="413"/>
      <c r="Z91" s="413"/>
      <c r="AA91" s="413"/>
      <c r="AB91" s="413"/>
      <c r="AC91" s="413"/>
      <c r="AD91" s="414"/>
    </row>
    <row r="92" spans="1:136"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289"/>
      <c r="W92" s="289"/>
      <c r="X92" s="289"/>
      <c r="Y92" s="289"/>
      <c r="Z92" s="289"/>
      <c r="AA92" s="289"/>
      <c r="AB92" s="289"/>
      <c r="AC92" s="289"/>
      <c r="AD92" s="419"/>
      <c r="AE92" s="388"/>
      <c r="AF92" s="342"/>
      <c r="AG92" s="342"/>
      <c r="AH92" s="342"/>
      <c r="AI92" s="342"/>
      <c r="AJ92" s="342"/>
      <c r="AK92" s="342"/>
      <c r="AL92" s="342"/>
      <c r="AM92" s="342"/>
      <c r="AN92" s="342"/>
      <c r="AO92" s="342"/>
      <c r="AP92" s="342"/>
      <c r="AQ92" s="342"/>
      <c r="AR92" s="342"/>
      <c r="AS92" s="342"/>
      <c r="AT92" s="342"/>
      <c r="AU92" s="342"/>
      <c r="AV92" s="342"/>
      <c r="AX92" s="342"/>
      <c r="AY92" s="342"/>
      <c r="AZ92" s="342"/>
      <c r="BA92" s="342"/>
      <c r="BB92" s="342"/>
      <c r="BC92" s="342"/>
    </row>
    <row r="93" spans="1:136" ht="43.5" customHeight="1" outlineLevel="1" x14ac:dyDescent="0.25">
      <c r="B93" s="486" t="s">
        <v>17</v>
      </c>
      <c r="C93" s="425"/>
      <c r="D93" s="425"/>
      <c r="E93" s="425"/>
      <c r="F93" s="425"/>
      <c r="G93" s="422" t="s">
        <v>279</v>
      </c>
      <c r="H93" s="270"/>
      <c r="I93" s="422" t="s">
        <v>280</v>
      </c>
      <c r="J93" s="447"/>
      <c r="K93" s="447"/>
      <c r="L93" s="401"/>
      <c r="M93" s="342"/>
      <c r="N93" s="269" t="s">
        <v>39</v>
      </c>
      <c r="O93" s="270"/>
      <c r="P93" s="422" t="s">
        <v>281</v>
      </c>
      <c r="Q93" s="270"/>
      <c r="R93" s="425"/>
      <c r="S93" s="422" t="s">
        <v>106</v>
      </c>
      <c r="T93" s="270"/>
      <c r="U93" s="422" t="s">
        <v>107</v>
      </c>
      <c r="V93" s="270"/>
      <c r="W93" s="425"/>
      <c r="X93" s="422" t="s">
        <v>282</v>
      </c>
      <c r="Y93" s="270"/>
      <c r="Z93" s="422" t="s">
        <v>283</v>
      </c>
      <c r="AA93" s="270"/>
      <c r="AB93" s="425"/>
      <c r="AC93" s="422" t="s">
        <v>284</v>
      </c>
      <c r="AD93" s="401"/>
      <c r="AE93" s="388"/>
      <c r="AF93" s="388"/>
      <c r="AG93" s="388"/>
      <c r="AH93" s="388"/>
      <c r="AI93" s="388"/>
      <c r="AJ93" s="388"/>
      <c r="AK93" s="388"/>
      <c r="AL93" s="388"/>
      <c r="AM93" s="388"/>
      <c r="AN93" s="388"/>
      <c r="AO93" s="388"/>
      <c r="AP93" s="388"/>
      <c r="AQ93" s="388"/>
      <c r="AR93" s="388"/>
      <c r="AS93" s="388"/>
      <c r="AT93" s="388"/>
      <c r="AU93" s="388"/>
      <c r="AV93" s="388"/>
      <c r="AX93" s="342"/>
      <c r="AY93" s="342"/>
      <c r="AZ93" s="342"/>
      <c r="BA93" s="342"/>
      <c r="BB93" s="342"/>
      <c r="BC93" s="342"/>
    </row>
    <row r="94" spans="1:136" outlineLevel="1" x14ac:dyDescent="0.25">
      <c r="B94" s="435" t="s">
        <v>18</v>
      </c>
      <c r="C94" s="425"/>
      <c r="D94" s="425"/>
      <c r="E94" s="425"/>
      <c r="F94" s="425"/>
      <c r="G94" s="469">
        <v>0.1</v>
      </c>
      <c r="H94" s="427" t="s">
        <v>3</v>
      </c>
      <c r="I94" s="485">
        <f>$N$10</f>
        <v>0</v>
      </c>
      <c r="J94" s="449" t="s">
        <v>2</v>
      </c>
      <c r="K94" s="302">
        <f>IF(B94=Annexes!$B$3,G94*I94/100,SUMPRODUCT(G97:G100,I97:I100/100))</f>
        <v>0</v>
      </c>
      <c r="L94" s="428" t="s">
        <v>3</v>
      </c>
      <c r="M94" s="342"/>
      <c r="N94" s="437">
        <f>GENERALITES!$G$53</f>
        <v>47500</v>
      </c>
      <c r="O94" s="427" t="s">
        <v>11</v>
      </c>
      <c r="P94" s="302">
        <f>IF(B94=Annexes!$B$3,G94*N94,SUM(G97:G100)*N94)</f>
        <v>4750</v>
      </c>
      <c r="Q94" s="427" t="s">
        <v>6</v>
      </c>
      <c r="R94" s="425"/>
      <c r="S94" s="302">
        <f>'ETAPE 2'!Z94</f>
        <v>607.1174724401767</v>
      </c>
      <c r="T94" s="427" t="s">
        <v>72</v>
      </c>
      <c r="U94" s="448">
        <f>S94*$B$10</f>
        <v>13660.143129903976</v>
      </c>
      <c r="V94" s="427" t="s">
        <v>6</v>
      </c>
      <c r="W94" s="425"/>
      <c r="X94" s="302">
        <f>P94+U94</f>
        <v>18410.143129903976</v>
      </c>
      <c r="Y94" s="427" t="s">
        <v>6</v>
      </c>
      <c r="Z94" s="302">
        <f>IF($E$10&lt;&gt;0,X94/$E$10,0)</f>
        <v>3719.2208343240354</v>
      </c>
      <c r="AA94" s="427" t="s">
        <v>72</v>
      </c>
      <c r="AB94" s="425"/>
      <c r="AC94" s="302">
        <f>$N$10/100*U94+IF(B94=Annexes!$B$3,I94/100*P94,IF(SUM(G97:G100)&gt;0,K94/SUM(G97:G100)*P94,0))</f>
        <v>0</v>
      </c>
      <c r="AD94" s="428" t="s">
        <v>6</v>
      </c>
      <c r="AE94" s="388"/>
      <c r="AF94" s="388"/>
      <c r="AG94" s="388"/>
      <c r="AH94" s="388"/>
      <c r="AI94" s="388"/>
      <c r="AJ94" s="388"/>
      <c r="AK94" s="388"/>
      <c r="AL94" s="388"/>
      <c r="AM94" s="388"/>
      <c r="AN94" s="388"/>
      <c r="AO94" s="388"/>
      <c r="AP94" s="388"/>
      <c r="AQ94" s="388"/>
      <c r="AR94" s="388"/>
      <c r="AS94" s="388"/>
      <c r="AT94" s="388"/>
      <c r="AU94" s="388"/>
      <c r="AV94" s="388"/>
      <c r="AX94" s="342"/>
      <c r="AY94" s="342"/>
      <c r="AZ94" s="342"/>
      <c r="BA94" s="342"/>
      <c r="BB94" s="342"/>
      <c r="BC94" s="342"/>
    </row>
    <row r="95" spans="1:136"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20"/>
      <c r="W95" s="420"/>
      <c r="X95" s="420"/>
      <c r="Y95" s="420"/>
      <c r="Z95" s="420"/>
      <c r="AA95" s="420"/>
      <c r="AB95" s="420"/>
      <c r="AC95" s="420"/>
      <c r="AD95" s="432"/>
      <c r="AE95" s="388"/>
      <c r="AF95" s="388"/>
      <c r="AG95" s="388"/>
      <c r="AH95" s="388"/>
      <c r="AI95" s="388"/>
      <c r="AJ95" s="388"/>
      <c r="AK95" s="388"/>
      <c r="AL95" s="388"/>
      <c r="AM95" s="388"/>
      <c r="AN95" s="388"/>
      <c r="AO95" s="388"/>
      <c r="AP95" s="388"/>
      <c r="AQ95" s="388"/>
      <c r="AR95" s="388"/>
      <c r="AS95" s="388"/>
      <c r="AT95" s="388"/>
      <c r="AU95" s="388"/>
      <c r="AV95" s="388"/>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c r="DQ95" s="342"/>
      <c r="DR95" s="342"/>
      <c r="DS95" s="342"/>
      <c r="DT95" s="342"/>
      <c r="DU95" s="342"/>
      <c r="DV95" s="342"/>
      <c r="DW95" s="342"/>
      <c r="DX95" s="342"/>
      <c r="DY95" s="342"/>
      <c r="DZ95" s="342"/>
      <c r="EA95" s="342"/>
      <c r="EB95" s="342"/>
      <c r="EC95" s="342"/>
      <c r="ED95" s="342"/>
      <c r="EE95" s="342"/>
      <c r="EF95" s="342"/>
    </row>
    <row r="96" spans="1:136"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20"/>
      <c r="W96" s="420"/>
      <c r="X96" s="420"/>
      <c r="Y96" s="420"/>
      <c r="Z96" s="420"/>
      <c r="AA96" s="420"/>
      <c r="AB96" s="420"/>
      <c r="AC96" s="420"/>
      <c r="AD96" s="432"/>
      <c r="AE96" s="388"/>
      <c r="AF96" s="388"/>
      <c r="AG96" s="388"/>
      <c r="AH96" s="388"/>
      <c r="AI96" s="388"/>
      <c r="AJ96" s="388"/>
      <c r="AK96" s="388"/>
      <c r="AL96" s="388"/>
      <c r="AM96" s="388"/>
      <c r="AN96" s="388"/>
      <c r="AO96" s="388"/>
      <c r="AP96" s="388"/>
      <c r="AQ96" s="388"/>
      <c r="AR96" s="388"/>
      <c r="AS96" s="388"/>
      <c r="AT96" s="388"/>
      <c r="AU96" s="388"/>
      <c r="AV96" s="388"/>
    </row>
    <row r="97" spans="1:136"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c r="V97" s="420"/>
      <c r="W97" s="420"/>
      <c r="X97" s="420"/>
      <c r="Y97" s="420"/>
      <c r="Z97" s="420"/>
      <c r="AA97" s="420"/>
      <c r="AB97" s="420"/>
      <c r="AC97" s="420"/>
      <c r="AD97" s="432"/>
      <c r="AE97" s="388"/>
      <c r="AF97" s="388"/>
      <c r="AG97" s="388"/>
      <c r="AH97" s="388"/>
      <c r="AI97" s="388"/>
      <c r="AJ97" s="388"/>
      <c r="AK97" s="388"/>
      <c r="AL97" s="388"/>
      <c r="AM97" s="388"/>
      <c r="AN97" s="388"/>
      <c r="AO97" s="388"/>
      <c r="AP97" s="388"/>
      <c r="AQ97" s="388"/>
      <c r="AR97" s="388"/>
      <c r="AS97" s="388"/>
      <c r="AT97" s="388"/>
      <c r="AU97" s="388"/>
      <c r="AV97" s="388"/>
    </row>
    <row r="98" spans="1:136"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20"/>
      <c r="W98" s="420"/>
      <c r="X98" s="420"/>
      <c r="Y98" s="420"/>
      <c r="Z98" s="420"/>
      <c r="AA98" s="420"/>
      <c r="AB98" s="420"/>
      <c r="AC98" s="420"/>
      <c r="AD98" s="432"/>
      <c r="AE98" s="388"/>
      <c r="AF98" s="388"/>
      <c r="AG98" s="388"/>
      <c r="AH98" s="388"/>
      <c r="AI98" s="388"/>
      <c r="AJ98" s="388"/>
      <c r="AK98" s="388"/>
      <c r="AL98" s="388"/>
      <c r="AM98" s="388"/>
      <c r="AN98" s="388"/>
      <c r="AO98" s="388"/>
      <c r="AP98" s="388"/>
      <c r="AQ98" s="388"/>
      <c r="AR98" s="388"/>
      <c r="AS98" s="388"/>
      <c r="AT98" s="388"/>
      <c r="AU98" s="388"/>
      <c r="AV98" s="388"/>
    </row>
    <row r="99" spans="1:136"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20"/>
      <c r="W99" s="420"/>
      <c r="X99" s="420"/>
      <c r="Y99" s="420"/>
      <c r="Z99" s="420"/>
      <c r="AA99" s="420"/>
      <c r="AB99" s="420"/>
      <c r="AC99" s="420"/>
      <c r="AD99" s="432"/>
      <c r="AE99" s="388"/>
      <c r="AF99" s="388"/>
      <c r="AG99" s="388"/>
      <c r="AH99" s="388"/>
      <c r="AI99" s="388"/>
      <c r="AJ99" s="388"/>
      <c r="AK99" s="388"/>
      <c r="AL99" s="388"/>
      <c r="AM99" s="388"/>
      <c r="AN99" s="388"/>
      <c r="AO99" s="388"/>
      <c r="AP99" s="388"/>
      <c r="AQ99" s="388"/>
      <c r="AR99" s="388"/>
      <c r="AS99" s="388"/>
      <c r="AT99" s="388"/>
      <c r="AU99" s="388"/>
      <c r="AV99" s="388"/>
    </row>
    <row r="100" spans="1:136"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20"/>
      <c r="W100" s="420"/>
      <c r="X100" s="420"/>
      <c r="Y100" s="420"/>
      <c r="Z100" s="420"/>
      <c r="AA100" s="420"/>
      <c r="AB100" s="420"/>
      <c r="AC100" s="420"/>
      <c r="AD100" s="432"/>
      <c r="AE100" s="388"/>
      <c r="AF100" s="388"/>
      <c r="AG100" s="388"/>
      <c r="AH100" s="388"/>
      <c r="AI100" s="388"/>
      <c r="AJ100" s="388"/>
      <c r="AK100" s="388"/>
      <c r="AL100" s="388"/>
      <c r="AM100" s="388"/>
      <c r="AN100" s="388"/>
      <c r="AO100" s="388"/>
      <c r="AP100" s="388"/>
      <c r="AQ100" s="388"/>
      <c r="AR100" s="388"/>
      <c r="AS100" s="388"/>
      <c r="AT100" s="388"/>
      <c r="AU100" s="388"/>
      <c r="AV100" s="388"/>
    </row>
    <row r="101" spans="1:136" ht="15.75" thickBot="1" x14ac:dyDescent="0.3">
      <c r="B101" s="521"/>
      <c r="C101" s="522"/>
      <c r="D101" s="522"/>
      <c r="E101" s="522"/>
      <c r="F101" s="522"/>
      <c r="G101" s="522"/>
      <c r="H101" s="522"/>
      <c r="I101" s="522"/>
      <c r="J101" s="522"/>
      <c r="K101" s="522"/>
      <c r="L101" s="523"/>
      <c r="N101" s="521"/>
      <c r="O101" s="522"/>
      <c r="P101" s="522"/>
      <c r="Q101" s="522"/>
      <c r="R101" s="522"/>
      <c r="S101" s="522"/>
      <c r="T101" s="522"/>
      <c r="U101" s="522"/>
      <c r="V101" s="522"/>
      <c r="W101" s="522"/>
      <c r="X101" s="522"/>
      <c r="Y101" s="522"/>
      <c r="Z101" s="522"/>
      <c r="AA101" s="522"/>
      <c r="AB101" s="522"/>
      <c r="AC101" s="522"/>
      <c r="AD101" s="523"/>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c r="DQ101" s="388"/>
      <c r="DR101" s="388"/>
      <c r="DS101" s="388"/>
      <c r="DT101" s="388"/>
      <c r="DU101" s="388"/>
      <c r="DV101" s="388"/>
      <c r="DW101" s="388"/>
      <c r="DX101" s="388"/>
      <c r="DY101" s="388"/>
      <c r="DZ101" s="388"/>
      <c r="EA101" s="388"/>
      <c r="EB101" s="388"/>
      <c r="EC101" s="388"/>
      <c r="ED101" s="388"/>
      <c r="EE101" s="388"/>
      <c r="EF101" s="388"/>
    </row>
    <row r="102" spans="1:136" ht="30" customHeight="1" thickBot="1" x14ac:dyDescent="0.3">
      <c r="A102" s="388"/>
      <c r="B102" s="499" t="s">
        <v>512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1"/>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2"/>
      <c r="BY102" s="342"/>
      <c r="BZ102" s="342"/>
      <c r="CA102" s="342"/>
      <c r="CB102" s="342"/>
      <c r="CC102" s="342"/>
      <c r="CD102" s="342"/>
      <c r="CE102" s="342"/>
      <c r="CF102" s="342"/>
      <c r="CG102" s="342"/>
      <c r="CH102" s="342"/>
      <c r="CI102" s="342"/>
      <c r="CJ102" s="342"/>
      <c r="CK102" s="342"/>
      <c r="CL102" s="342"/>
      <c r="CM102" s="342"/>
      <c r="CN102" s="342"/>
      <c r="CO102" s="342"/>
      <c r="CP102" s="342"/>
      <c r="CQ102" s="342"/>
      <c r="CR102" s="342"/>
      <c r="CS102" s="342"/>
      <c r="CT102" s="342"/>
      <c r="CU102" s="342"/>
      <c r="CV102" s="342"/>
      <c r="CW102" s="342"/>
      <c r="CX102" s="342"/>
      <c r="CY102" s="342"/>
      <c r="CZ102" s="342"/>
      <c r="DA102" s="342"/>
      <c r="DB102" s="342"/>
      <c r="DC102" s="342"/>
      <c r="DD102" s="342"/>
      <c r="DE102" s="342"/>
      <c r="DF102" s="342"/>
      <c r="DG102" s="342"/>
      <c r="DH102" s="342"/>
      <c r="DI102" s="342"/>
      <c r="DJ102" s="342"/>
      <c r="DK102" s="342"/>
      <c r="DL102" s="342"/>
      <c r="DM102" s="342"/>
      <c r="DN102" s="342"/>
      <c r="DO102" s="342"/>
      <c r="DP102" s="342"/>
      <c r="DQ102" s="342"/>
      <c r="DR102" s="342"/>
      <c r="DS102" s="342"/>
      <c r="DT102" s="342"/>
      <c r="DU102" s="342"/>
      <c r="DV102" s="342"/>
      <c r="DW102" s="342"/>
      <c r="DX102" s="342"/>
      <c r="DY102" s="342"/>
      <c r="DZ102" s="342"/>
      <c r="EA102" s="342"/>
      <c r="EB102" s="342"/>
      <c r="EC102" s="342"/>
      <c r="ED102" s="342"/>
      <c r="EE102" s="342"/>
      <c r="EF102" s="342"/>
    </row>
    <row r="103" spans="1:136"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3"/>
      <c r="W103" s="413"/>
      <c r="X103" s="413"/>
      <c r="Y103" s="413"/>
      <c r="Z103" s="413"/>
      <c r="AA103" s="413"/>
      <c r="AB103" s="413"/>
      <c r="AC103" s="413"/>
      <c r="AD103" s="414"/>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c r="DQ103" s="388"/>
      <c r="DR103" s="388"/>
      <c r="DS103" s="388"/>
      <c r="DT103" s="388"/>
      <c r="DU103" s="388"/>
      <c r="DV103" s="388"/>
      <c r="DW103" s="388"/>
      <c r="DX103" s="388"/>
      <c r="DY103" s="388"/>
      <c r="DZ103" s="388"/>
      <c r="EA103" s="388"/>
      <c r="EB103" s="388"/>
      <c r="EC103" s="388"/>
      <c r="ED103" s="388"/>
      <c r="EE103" s="388"/>
      <c r="EF103" s="388"/>
    </row>
    <row r="104" spans="1:136" ht="15" customHeight="1"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289"/>
      <c r="W104" s="289"/>
      <c r="X104" s="289"/>
      <c r="Y104" s="289"/>
      <c r="Z104" s="289"/>
      <c r="AA104" s="289"/>
      <c r="AB104" s="289"/>
      <c r="AC104" s="289"/>
      <c r="AD104" s="419"/>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36" ht="45" customHeight="1" outlineLevel="1" x14ac:dyDescent="0.25">
      <c r="B105" s="471"/>
      <c r="C105" s="425"/>
      <c r="D105" s="425"/>
      <c r="E105" s="425"/>
      <c r="F105" s="425"/>
      <c r="G105" s="524" t="s">
        <v>604</v>
      </c>
      <c r="H105" s="525"/>
      <c r="I105" s="422" t="s">
        <v>615</v>
      </c>
      <c r="J105" s="447"/>
      <c r="K105" s="447"/>
      <c r="L105" s="401"/>
      <c r="M105" s="342"/>
      <c r="N105" s="269" t="s">
        <v>601</v>
      </c>
      <c r="O105" s="270"/>
      <c r="P105" s="425"/>
      <c r="Q105" s="425"/>
      <c r="R105" s="425"/>
      <c r="S105" s="425"/>
      <c r="T105" s="425"/>
      <c r="U105" s="434"/>
      <c r="V105" s="434"/>
      <c r="W105" s="420"/>
      <c r="X105" s="420"/>
      <c r="Y105" s="420"/>
      <c r="Z105" s="420"/>
      <c r="AA105" s="420"/>
      <c r="AB105" s="420"/>
      <c r="AC105" s="422" t="s">
        <v>605</v>
      </c>
      <c r="AD105" s="401"/>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36" outlineLevel="1" x14ac:dyDescent="0.25">
      <c r="B106" s="471"/>
      <c r="C106" s="425"/>
      <c r="D106" s="425"/>
      <c r="E106" s="425"/>
      <c r="F106" s="425"/>
      <c r="G106" s="302">
        <f>$G$16+$K$31</f>
        <v>0</v>
      </c>
      <c r="H106" s="427" t="s">
        <v>1</v>
      </c>
      <c r="I106" s="436"/>
      <c r="J106" s="449" t="s">
        <v>2</v>
      </c>
      <c r="K106" s="302">
        <f>G106*I106/100</f>
        <v>0</v>
      </c>
      <c r="L106" s="428" t="s">
        <v>1</v>
      </c>
      <c r="M106" s="342"/>
      <c r="N106" s="437">
        <f>GENERALITES!$M$63</f>
        <v>350</v>
      </c>
      <c r="O106" s="427" t="s">
        <v>0</v>
      </c>
      <c r="P106" s="425"/>
      <c r="Q106" s="425"/>
      <c r="R106" s="425"/>
      <c r="S106" s="425"/>
      <c r="T106" s="425"/>
      <c r="U106" s="434"/>
      <c r="V106" s="434"/>
      <c r="W106" s="420"/>
      <c r="X106" s="420"/>
      <c r="Y106" s="420"/>
      <c r="Z106" s="420"/>
      <c r="AA106" s="420"/>
      <c r="AB106" s="420"/>
      <c r="AC106" s="302">
        <f>K106*N106</f>
        <v>0</v>
      </c>
      <c r="AD106" s="428" t="s">
        <v>6</v>
      </c>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36" ht="15.75" thickBot="1" x14ac:dyDescent="0.3">
      <c r="B107" s="521"/>
      <c r="C107" s="522"/>
      <c r="D107" s="522"/>
      <c r="E107" s="522"/>
      <c r="F107" s="522"/>
      <c r="G107" s="522"/>
      <c r="H107" s="522"/>
      <c r="I107" s="522"/>
      <c r="J107" s="522"/>
      <c r="K107" s="522"/>
      <c r="L107" s="523"/>
      <c r="N107" s="521"/>
      <c r="O107" s="522"/>
      <c r="P107" s="522"/>
      <c r="Q107" s="522"/>
      <c r="R107" s="522"/>
      <c r="S107" s="522"/>
      <c r="T107" s="522"/>
      <c r="U107" s="522"/>
      <c r="V107" s="522"/>
      <c r="W107" s="522"/>
      <c r="X107" s="522"/>
      <c r="Y107" s="522"/>
      <c r="Z107" s="522"/>
      <c r="AA107" s="522"/>
      <c r="AB107" s="522"/>
      <c r="AC107" s="522"/>
      <c r="AD107" s="523"/>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c r="DQ107" s="388"/>
      <c r="DR107" s="388"/>
      <c r="DS107" s="388"/>
      <c r="DT107" s="388"/>
      <c r="DU107" s="388"/>
      <c r="DV107" s="388"/>
      <c r="DW107" s="388"/>
      <c r="DX107" s="388"/>
      <c r="DY107" s="388"/>
      <c r="DZ107" s="388"/>
      <c r="EA107" s="388"/>
      <c r="EB107" s="388"/>
      <c r="EC107" s="388"/>
      <c r="ED107" s="388"/>
      <c r="EE107" s="388"/>
      <c r="EF107" s="388"/>
    </row>
    <row r="108" spans="1:136" ht="30" customHeight="1" thickBot="1" x14ac:dyDescent="0.3">
      <c r="A108" s="388"/>
      <c r="B108" s="499" t="s">
        <v>513</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1"/>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row>
    <row r="109" spans="1:136"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3"/>
      <c r="W109" s="413"/>
      <c r="X109" s="413"/>
      <c r="Y109" s="413"/>
      <c r="Z109" s="413"/>
      <c r="AA109" s="413"/>
      <c r="AB109" s="413"/>
      <c r="AC109" s="413"/>
      <c r="AD109" s="414"/>
      <c r="AF109" s="412"/>
      <c r="AG109" s="413"/>
      <c r="AH109" s="413"/>
      <c r="AI109" s="413"/>
      <c r="AJ109" s="413"/>
      <c r="AK109" s="413"/>
      <c r="AL109" s="413"/>
      <c r="AM109" s="413"/>
      <c r="AN109" s="413"/>
      <c r="AO109" s="413"/>
      <c r="AP109" s="413"/>
      <c r="AQ109" s="413"/>
      <c r="AR109" s="413"/>
      <c r="AS109" s="413"/>
      <c r="AT109" s="413"/>
      <c r="AU109" s="413"/>
      <c r="AV109" s="414"/>
    </row>
    <row r="110" spans="1:136"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289"/>
      <c r="W110" s="289"/>
      <c r="X110" s="289"/>
      <c r="Y110" s="289"/>
      <c r="Z110" s="289"/>
      <c r="AA110" s="289"/>
      <c r="AB110" s="289"/>
      <c r="AC110" s="289"/>
      <c r="AD110" s="419"/>
      <c r="AE110" s="388"/>
      <c r="AF110" s="418" t="s">
        <v>52</v>
      </c>
      <c r="AG110" s="289"/>
      <c r="AH110" s="289"/>
      <c r="AI110" s="289"/>
      <c r="AJ110" s="289"/>
      <c r="AK110" s="289"/>
      <c r="AL110" s="289"/>
      <c r="AM110" s="289"/>
      <c r="AN110" s="289"/>
      <c r="AO110" s="289"/>
      <c r="AP110" s="289"/>
      <c r="AQ110" s="289"/>
      <c r="AR110" s="289"/>
      <c r="AS110" s="289"/>
      <c r="AT110" s="289"/>
      <c r="AU110" s="289"/>
      <c r="AV110" s="419"/>
      <c r="AX110" s="342"/>
      <c r="AY110" s="342"/>
      <c r="AZ110" s="342"/>
      <c r="BA110" s="342"/>
      <c r="BB110" s="342"/>
      <c r="BC110" s="342"/>
      <c r="BD110" s="342"/>
      <c r="BE110" s="342"/>
      <c r="BF110" s="342"/>
      <c r="BG110" s="342"/>
      <c r="BH110" s="342"/>
      <c r="BI110" s="342"/>
      <c r="BJ110" s="342"/>
    </row>
    <row r="111" spans="1:136" ht="45" customHeight="1" outlineLevel="1" x14ac:dyDescent="0.25">
      <c r="B111" s="421" t="s">
        <v>15</v>
      </c>
      <c r="C111" s="425"/>
      <c r="D111" s="425"/>
      <c r="E111" s="425"/>
      <c r="F111" s="425"/>
      <c r="G111" s="524" t="s">
        <v>604</v>
      </c>
      <c r="H111" s="525"/>
      <c r="I111" s="422" t="s">
        <v>623</v>
      </c>
      <c r="J111" s="447"/>
      <c r="K111" s="447"/>
      <c r="L111" s="401"/>
      <c r="M111" s="342"/>
      <c r="N111" s="269" t="s">
        <v>517</v>
      </c>
      <c r="O111" s="270"/>
      <c r="P111" s="425"/>
      <c r="Q111" s="425"/>
      <c r="R111" s="425"/>
      <c r="S111" s="425"/>
      <c r="T111" s="425"/>
      <c r="U111" s="425"/>
      <c r="V111" s="425"/>
      <c r="W111" s="425"/>
      <c r="X111" s="425"/>
      <c r="Y111" s="425"/>
      <c r="Z111" s="425"/>
      <c r="AA111" s="425"/>
      <c r="AB111" s="425"/>
      <c r="AC111" s="422" t="s">
        <v>522</v>
      </c>
      <c r="AD111" s="401"/>
      <c r="AE111" s="388"/>
      <c r="AF111" s="269" t="s">
        <v>52</v>
      </c>
      <c r="AG111" s="270"/>
      <c r="AH111" s="420"/>
      <c r="AI111" s="420"/>
      <c r="AJ111" s="420"/>
      <c r="AK111" s="420"/>
      <c r="AL111" s="420"/>
      <c r="AM111" s="420"/>
      <c r="AN111" s="420"/>
      <c r="AO111" s="420"/>
      <c r="AP111" s="420"/>
      <c r="AQ111" s="420"/>
      <c r="AR111" s="420"/>
      <c r="AS111" s="420"/>
      <c r="AT111" s="420"/>
      <c r="AU111" s="422" t="s">
        <v>285</v>
      </c>
      <c r="AV111" s="401"/>
      <c r="AX111" s="342"/>
      <c r="AY111" s="342"/>
      <c r="AZ111" s="342"/>
      <c r="BA111" s="342"/>
      <c r="BB111" s="342"/>
      <c r="BC111" s="342"/>
      <c r="BD111" s="342"/>
      <c r="BE111" s="342"/>
      <c r="BF111" s="342"/>
      <c r="BG111" s="342"/>
      <c r="BH111" s="342"/>
      <c r="BI111" s="342"/>
      <c r="BJ111" s="342"/>
    </row>
    <row r="112" spans="1:136" outlineLevel="1" x14ac:dyDescent="0.25">
      <c r="B112" s="426"/>
      <c r="C112" s="425"/>
      <c r="D112" s="425"/>
      <c r="E112" s="425"/>
      <c r="F112" s="425"/>
      <c r="G112" s="302">
        <f>$G$16+$K$31</f>
        <v>0</v>
      </c>
      <c r="H112" s="427" t="s">
        <v>1</v>
      </c>
      <c r="I112" s="302">
        <f>SUM(I114:I117)</f>
        <v>0</v>
      </c>
      <c r="J112" s="449" t="s">
        <v>2</v>
      </c>
      <c r="K112" s="302">
        <f>SUM(K114:K117)</f>
        <v>0</v>
      </c>
      <c r="L112" s="428" t="s">
        <v>1</v>
      </c>
      <c r="M112" s="342"/>
      <c r="N112" s="450"/>
      <c r="O112" s="427" t="s">
        <v>0</v>
      </c>
      <c r="P112" s="425"/>
      <c r="Q112" s="425"/>
      <c r="R112" s="425"/>
      <c r="S112" s="425"/>
      <c r="T112" s="425"/>
      <c r="U112" s="425"/>
      <c r="V112" s="425"/>
      <c r="W112" s="425"/>
      <c r="X112" s="425"/>
      <c r="Y112" s="425"/>
      <c r="Z112" s="425"/>
      <c r="AA112" s="425"/>
      <c r="AB112" s="425"/>
      <c r="AC112" s="302">
        <f>SUMPRODUCT('ETAPE 3'!K114:K117,'ETAPE 3'!N114:N117)</f>
        <v>0</v>
      </c>
      <c r="AD112" s="428" t="s">
        <v>6</v>
      </c>
      <c r="AE112" s="388"/>
      <c r="AF112" s="429"/>
      <c r="AG112" s="430" t="s">
        <v>20</v>
      </c>
      <c r="AH112" s="420"/>
      <c r="AI112" s="420"/>
      <c r="AJ112" s="420"/>
      <c r="AK112" s="420"/>
      <c r="AL112" s="420"/>
      <c r="AM112" s="420"/>
      <c r="AN112" s="420"/>
      <c r="AO112" s="420"/>
      <c r="AP112" s="420"/>
      <c r="AQ112" s="420"/>
      <c r="AR112" s="420"/>
      <c r="AS112" s="420"/>
      <c r="AT112" s="420"/>
      <c r="AU112" s="302">
        <f>SUMPRODUCT('ETAPE 3'!K114:K117,'ETAPE 3'!AF114:AF117)</f>
        <v>0</v>
      </c>
      <c r="AV112" s="428" t="s">
        <v>21</v>
      </c>
      <c r="AX112" s="342"/>
      <c r="AY112" s="342"/>
      <c r="AZ112" s="342"/>
      <c r="BA112" s="342"/>
      <c r="BB112" s="342"/>
      <c r="BC112" s="342"/>
      <c r="BD112" s="342"/>
      <c r="BE112" s="342"/>
      <c r="BF112" s="342"/>
      <c r="BG112" s="342"/>
      <c r="BH112" s="342"/>
      <c r="BI112" s="342"/>
      <c r="BJ112" s="342"/>
    </row>
    <row r="113" spans="1:136" ht="6.75" customHeight="1" outlineLevel="1" x14ac:dyDescent="0.25">
      <c r="A113" s="388"/>
      <c r="B113" s="431"/>
      <c r="C113" s="425"/>
      <c r="D113" s="425"/>
      <c r="E113" s="425"/>
      <c r="F113" s="425"/>
      <c r="G113" s="425"/>
      <c r="H113" s="425"/>
      <c r="I113" s="433"/>
      <c r="J113" s="433"/>
      <c r="K113" s="420"/>
      <c r="L113" s="432"/>
      <c r="M113" s="342"/>
      <c r="N113" s="431"/>
      <c r="O113" s="420"/>
      <c r="P113" s="420"/>
      <c r="Q113" s="420"/>
      <c r="R113" s="420"/>
      <c r="S113" s="420"/>
      <c r="T113" s="420"/>
      <c r="U113" s="420"/>
      <c r="V113" s="420"/>
      <c r="W113" s="420"/>
      <c r="X113" s="420"/>
      <c r="Y113" s="420"/>
      <c r="Z113" s="420"/>
      <c r="AA113" s="420"/>
      <c r="AB113" s="420"/>
      <c r="AC113" s="420"/>
      <c r="AD113" s="432"/>
      <c r="AE113" s="388"/>
      <c r="AF113" s="431"/>
      <c r="AG113" s="420"/>
      <c r="AH113" s="420"/>
      <c r="AI113" s="420"/>
      <c r="AJ113" s="420"/>
      <c r="AK113" s="420"/>
      <c r="AL113" s="420"/>
      <c r="AM113" s="420"/>
      <c r="AN113" s="420"/>
      <c r="AO113" s="420"/>
      <c r="AP113" s="420"/>
      <c r="AQ113" s="420"/>
      <c r="AR113" s="420"/>
      <c r="AS113" s="420"/>
      <c r="AT113" s="420"/>
      <c r="AU113" s="420"/>
      <c r="AV113" s="43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c r="DQ113" s="342"/>
      <c r="DR113" s="342"/>
      <c r="DS113" s="342"/>
      <c r="DT113" s="342"/>
      <c r="DU113" s="342"/>
      <c r="DV113" s="342"/>
      <c r="DW113" s="342"/>
      <c r="DX113" s="342"/>
      <c r="DY113" s="342"/>
      <c r="DZ113" s="342"/>
      <c r="EA113" s="342"/>
      <c r="EB113" s="342"/>
      <c r="EC113" s="342"/>
      <c r="ED113" s="342"/>
      <c r="EE113" s="342"/>
      <c r="EF113" s="342"/>
    </row>
    <row r="114" spans="1:136" outlineLevel="1" x14ac:dyDescent="0.25">
      <c r="B114" s="435"/>
      <c r="C114" s="425"/>
      <c r="D114" s="425"/>
      <c r="E114" s="425"/>
      <c r="F114" s="425"/>
      <c r="G114" s="425"/>
      <c r="H114" s="425"/>
      <c r="I114" s="436"/>
      <c r="J114" s="449" t="s">
        <v>2</v>
      </c>
      <c r="K114" s="302">
        <f>I114/100*$G$112</f>
        <v>0</v>
      </c>
      <c r="L114" s="428" t="s">
        <v>1</v>
      </c>
      <c r="M114" s="342"/>
      <c r="N114" s="437" t="str">
        <f>IF(B114&lt;&gt;0,VLOOKUP(B114,GENERALITES!$B$68:$D$71,3,FALSE),"")</f>
        <v/>
      </c>
      <c r="O114" s="427" t="s">
        <v>0</v>
      </c>
      <c r="P114" s="438"/>
      <c r="Q114" s="438"/>
      <c r="R114" s="438"/>
      <c r="S114" s="438"/>
      <c r="T114" s="438"/>
      <c r="U114" s="438"/>
      <c r="V114" s="438"/>
      <c r="W114" s="438"/>
      <c r="X114" s="438"/>
      <c r="Y114" s="438"/>
      <c r="Z114" s="438"/>
      <c r="AA114" s="438"/>
      <c r="AB114" s="438"/>
      <c r="AC114" s="420"/>
      <c r="AD114" s="432"/>
      <c r="AE114" s="388"/>
      <c r="AF114" s="437" t="str">
        <f>IF(B114&lt;&gt;0,VLOOKUP(B114,GENERALITES!$B$68:$N$71,12,FALSE),"")</f>
        <v/>
      </c>
      <c r="AG114" s="427" t="s">
        <v>20</v>
      </c>
      <c r="AH114" s="420"/>
      <c r="AI114" s="420"/>
      <c r="AJ114" s="420"/>
      <c r="AK114" s="420"/>
      <c r="AL114" s="420"/>
      <c r="AM114" s="420"/>
      <c r="AN114" s="420"/>
      <c r="AO114" s="420"/>
      <c r="AP114" s="420"/>
      <c r="AQ114" s="420"/>
      <c r="AR114" s="420"/>
      <c r="AS114" s="420"/>
      <c r="AT114" s="420"/>
      <c r="AU114" s="420"/>
      <c r="AV114" s="432"/>
    </row>
    <row r="115" spans="1:136" outlineLevel="1" x14ac:dyDescent="0.25">
      <c r="B115" s="435"/>
      <c r="C115" s="425"/>
      <c r="D115" s="425"/>
      <c r="E115" s="425"/>
      <c r="F115" s="425"/>
      <c r="G115" s="425"/>
      <c r="H115" s="425"/>
      <c r="I115" s="436"/>
      <c r="J115" s="449" t="s">
        <v>2</v>
      </c>
      <c r="K115" s="302">
        <f>I115/100*$G$112</f>
        <v>0</v>
      </c>
      <c r="L115" s="428" t="s">
        <v>1</v>
      </c>
      <c r="M115" s="342"/>
      <c r="N115" s="437" t="str">
        <f>IF(B115&lt;&gt;0,VLOOKUP(B115,GENERALITES!$B$68:$D$71,3,FALSE),"")</f>
        <v/>
      </c>
      <c r="O115" s="427" t="s">
        <v>0</v>
      </c>
      <c r="P115" s="438"/>
      <c r="Q115" s="438"/>
      <c r="R115" s="438"/>
      <c r="S115" s="438"/>
      <c r="T115" s="438"/>
      <c r="U115" s="438"/>
      <c r="V115" s="438"/>
      <c r="W115" s="438"/>
      <c r="X115" s="438"/>
      <c r="Y115" s="438"/>
      <c r="Z115" s="438"/>
      <c r="AA115" s="438"/>
      <c r="AB115" s="438"/>
      <c r="AC115" s="420"/>
      <c r="AD115" s="432"/>
      <c r="AE115" s="388"/>
      <c r="AF115" s="437" t="str">
        <f>IF(B115&lt;&gt;0,VLOOKUP(B115,GENERALITES!$B$68:$N$71,12,FALSE),"")</f>
        <v/>
      </c>
      <c r="AG115" s="427" t="s">
        <v>20</v>
      </c>
      <c r="AH115" s="420"/>
      <c r="AI115" s="420"/>
      <c r="AJ115" s="420"/>
      <c r="AK115" s="420"/>
      <c r="AL115" s="420"/>
      <c r="AM115" s="420"/>
      <c r="AN115" s="420"/>
      <c r="AO115" s="420"/>
      <c r="AP115" s="420"/>
      <c r="AQ115" s="420"/>
      <c r="AR115" s="420"/>
      <c r="AS115" s="420"/>
      <c r="AT115" s="420"/>
      <c r="AU115" s="420"/>
      <c r="AV115" s="432"/>
    </row>
    <row r="116" spans="1:136" outlineLevel="1" x14ac:dyDescent="0.25">
      <c r="B116" s="435"/>
      <c r="C116" s="425"/>
      <c r="D116" s="425"/>
      <c r="E116" s="425"/>
      <c r="F116" s="425"/>
      <c r="G116" s="425"/>
      <c r="H116" s="425"/>
      <c r="I116" s="436"/>
      <c r="J116" s="449" t="s">
        <v>2</v>
      </c>
      <c r="K116" s="302">
        <f>I116/100*$G$112</f>
        <v>0</v>
      </c>
      <c r="L116" s="428" t="s">
        <v>1</v>
      </c>
      <c r="M116" s="342"/>
      <c r="N116" s="437" t="str">
        <f>IF(B116&lt;&gt;0,VLOOKUP(B116,GENERALITES!$B$68:$D$71,3,FALSE),"")</f>
        <v/>
      </c>
      <c r="O116" s="427" t="s">
        <v>0</v>
      </c>
      <c r="P116" s="438"/>
      <c r="Q116" s="438"/>
      <c r="R116" s="438"/>
      <c r="S116" s="438"/>
      <c r="T116" s="438"/>
      <c r="U116" s="438"/>
      <c r="V116" s="438"/>
      <c r="W116" s="438"/>
      <c r="X116" s="438"/>
      <c r="Y116" s="438"/>
      <c r="Z116" s="438"/>
      <c r="AA116" s="438"/>
      <c r="AB116" s="438"/>
      <c r="AC116" s="420"/>
      <c r="AD116" s="432"/>
      <c r="AE116" s="388"/>
      <c r="AF116" s="437" t="str">
        <f>IF(B116&lt;&gt;0,VLOOKUP(B116,GENERALITES!$B$68:$N$71,12,FALSE),"")</f>
        <v/>
      </c>
      <c r="AG116" s="427" t="s">
        <v>20</v>
      </c>
      <c r="AH116" s="420"/>
      <c r="AI116" s="420"/>
      <c r="AJ116" s="420"/>
      <c r="AK116" s="420"/>
      <c r="AL116" s="420"/>
      <c r="AM116" s="420"/>
      <c r="AN116" s="420"/>
      <c r="AO116" s="420"/>
      <c r="AP116" s="420"/>
      <c r="AQ116" s="420"/>
      <c r="AR116" s="420"/>
      <c r="AS116" s="420"/>
      <c r="AT116" s="420"/>
      <c r="AU116" s="420"/>
      <c r="AV116" s="432"/>
    </row>
    <row r="117" spans="1:136" outlineLevel="1" x14ac:dyDescent="0.25">
      <c r="B117" s="435"/>
      <c r="C117" s="425"/>
      <c r="D117" s="425"/>
      <c r="E117" s="425"/>
      <c r="F117" s="425"/>
      <c r="G117" s="425"/>
      <c r="H117" s="425"/>
      <c r="I117" s="436"/>
      <c r="J117" s="449" t="s">
        <v>2</v>
      </c>
      <c r="K117" s="302">
        <f>I117/100*$G$112</f>
        <v>0</v>
      </c>
      <c r="L117" s="428" t="s">
        <v>1</v>
      </c>
      <c r="M117" s="342"/>
      <c r="N117" s="437" t="str">
        <f>IF(B117&lt;&gt;0,VLOOKUP(B117,GENERALITES!$B$68:$D$71,3,FALSE),"")</f>
        <v/>
      </c>
      <c r="O117" s="427" t="s">
        <v>0</v>
      </c>
      <c r="P117" s="438"/>
      <c r="Q117" s="438"/>
      <c r="R117" s="438"/>
      <c r="S117" s="438"/>
      <c r="T117" s="438"/>
      <c r="U117" s="438"/>
      <c r="V117" s="438"/>
      <c r="W117" s="438"/>
      <c r="X117" s="438"/>
      <c r="Y117" s="438"/>
      <c r="Z117" s="438"/>
      <c r="AA117" s="438"/>
      <c r="AB117" s="438"/>
      <c r="AC117" s="420"/>
      <c r="AD117" s="432"/>
      <c r="AE117" s="388"/>
      <c r="AF117" s="437" t="str">
        <f>IF(B117&lt;&gt;0,VLOOKUP(B117,GENERALITES!$B$68:$N$71,12,FALSE),"")</f>
        <v/>
      </c>
      <c r="AG117" s="427" t="s">
        <v>20</v>
      </c>
      <c r="AH117" s="420"/>
      <c r="AI117" s="420"/>
      <c r="AJ117" s="420"/>
      <c r="AK117" s="420"/>
      <c r="AL117" s="420"/>
      <c r="AM117" s="420"/>
      <c r="AN117" s="420"/>
      <c r="AO117" s="420"/>
      <c r="AP117" s="420"/>
      <c r="AQ117" s="420"/>
      <c r="AR117" s="420"/>
      <c r="AS117" s="420"/>
      <c r="AT117" s="420"/>
      <c r="AU117" s="420"/>
      <c r="AV117" s="432"/>
    </row>
    <row r="118" spans="1:136" ht="15.75" thickBot="1" x14ac:dyDescent="0.3">
      <c r="A118" s="440"/>
      <c r="B118" s="477"/>
      <c r="C118" s="478"/>
      <c r="D118" s="478"/>
      <c r="E118" s="478"/>
      <c r="F118" s="478"/>
      <c r="G118" s="478"/>
      <c r="H118" s="478"/>
      <c r="I118" s="478"/>
      <c r="J118" s="478"/>
      <c r="K118" s="478"/>
      <c r="L118" s="479"/>
      <c r="M118" s="440"/>
      <c r="N118" s="477"/>
      <c r="O118" s="478"/>
      <c r="P118" s="478"/>
      <c r="Q118" s="478"/>
      <c r="R118" s="478"/>
      <c r="S118" s="478"/>
      <c r="T118" s="478"/>
      <c r="U118" s="478"/>
      <c r="V118" s="478"/>
      <c r="W118" s="478"/>
      <c r="X118" s="478"/>
      <c r="Y118" s="478"/>
      <c r="Z118" s="478"/>
      <c r="AA118" s="478"/>
      <c r="AB118" s="478"/>
      <c r="AC118" s="478"/>
      <c r="AD118" s="479"/>
      <c r="AE118" s="440"/>
      <c r="AF118" s="444"/>
      <c r="AG118" s="445"/>
      <c r="AH118" s="445"/>
      <c r="AI118" s="445"/>
      <c r="AJ118" s="445"/>
      <c r="AK118" s="445"/>
      <c r="AL118" s="445"/>
      <c r="AM118" s="445"/>
      <c r="AN118" s="445"/>
      <c r="AO118" s="445"/>
      <c r="AP118" s="445"/>
      <c r="AQ118" s="445"/>
      <c r="AR118" s="445"/>
      <c r="AS118" s="445"/>
      <c r="AT118" s="445"/>
      <c r="AU118" s="445"/>
      <c r="AV118" s="446"/>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row>
    <row r="119" spans="1:136" ht="30" customHeight="1" thickBot="1" x14ac:dyDescent="0.3">
      <c r="A119" s="388"/>
      <c r="B119" s="499" t="s">
        <v>38</v>
      </c>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1"/>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2"/>
      <c r="DU119" s="342"/>
      <c r="DV119" s="342"/>
      <c r="DW119" s="342"/>
      <c r="DX119" s="342"/>
      <c r="DY119" s="342"/>
      <c r="DZ119" s="342"/>
      <c r="EA119" s="342"/>
      <c r="EB119" s="342"/>
      <c r="EC119" s="342"/>
      <c r="ED119" s="342"/>
      <c r="EE119" s="342"/>
      <c r="EF119" s="342"/>
    </row>
    <row r="120" spans="1:136" ht="15.75" outlineLevel="1" thickBot="1" x14ac:dyDescent="0.3"/>
    <row r="121" spans="1:136" ht="15" customHeight="1" outlineLevel="1" x14ac:dyDescent="0.25">
      <c r="B121" s="540" t="s">
        <v>712</v>
      </c>
      <c r="C121" s="541"/>
      <c r="D121" s="342"/>
      <c r="E121" s="531" t="s">
        <v>713</v>
      </c>
      <c r="F121" s="533"/>
      <c r="G121" s="533"/>
      <c r="H121" s="533"/>
      <c r="I121" s="533"/>
      <c r="J121" s="533"/>
      <c r="K121" s="533"/>
      <c r="L121" s="532"/>
      <c r="M121" s="433"/>
      <c r="N121" s="399" t="s">
        <v>61</v>
      </c>
      <c r="O121" s="493"/>
      <c r="P121" s="493"/>
      <c r="Q121" s="493"/>
      <c r="R121" s="493"/>
      <c r="S121" s="493"/>
      <c r="T121" s="493"/>
      <c r="U121" s="493"/>
      <c r="V121" s="493"/>
      <c r="W121" s="493"/>
      <c r="X121" s="493"/>
      <c r="Y121" s="493"/>
      <c r="Z121" s="493"/>
      <c r="AA121" s="493"/>
      <c r="AB121" s="493"/>
      <c r="AC121" s="493"/>
      <c r="AD121" s="400"/>
      <c r="AE121" s="420"/>
      <c r="AF121" s="399" t="s">
        <v>60</v>
      </c>
      <c r="AG121" s="493"/>
      <c r="AH121" s="493"/>
      <c r="AI121" s="493"/>
      <c r="AJ121" s="493"/>
      <c r="AK121" s="493"/>
      <c r="AL121" s="493"/>
      <c r="AM121" s="493"/>
      <c r="AN121" s="493"/>
      <c r="AO121" s="493"/>
      <c r="AP121" s="493"/>
      <c r="AQ121" s="493"/>
      <c r="AR121" s="493"/>
      <c r="AS121" s="493"/>
      <c r="AT121" s="493"/>
      <c r="AU121" s="493"/>
      <c r="AV121" s="400"/>
      <c r="AW121" s="342"/>
      <c r="AX121" s="342"/>
      <c r="AY121" s="342"/>
      <c r="AZ121" s="342"/>
      <c r="BA121" s="342"/>
      <c r="BB121" s="342"/>
      <c r="BC121" s="342"/>
      <c r="BD121" s="342"/>
      <c r="BE121" s="342"/>
      <c r="BF121" s="342"/>
      <c r="BG121" s="342"/>
      <c r="BH121" s="342"/>
      <c r="BI121" s="342"/>
    </row>
    <row r="122" spans="1:136" ht="43.5" customHeight="1" outlineLevel="1" x14ac:dyDescent="0.25">
      <c r="B122" s="528" t="s">
        <v>583</v>
      </c>
      <c r="C122" s="529"/>
      <c r="D122" s="342"/>
      <c r="E122" s="269" t="s">
        <v>584</v>
      </c>
      <c r="F122" s="270"/>
      <c r="G122" s="422" t="s">
        <v>55</v>
      </c>
      <c r="H122" s="270"/>
      <c r="I122" s="422" t="s">
        <v>558</v>
      </c>
      <c r="J122" s="270"/>
      <c r="K122" s="422" t="s">
        <v>59</v>
      </c>
      <c r="L122" s="401"/>
      <c r="M122" s="420"/>
      <c r="N122" s="471"/>
      <c r="O122" s="425"/>
      <c r="P122" s="422" t="s">
        <v>286</v>
      </c>
      <c r="Q122" s="270"/>
      <c r="R122" s="425"/>
      <c r="S122" s="425"/>
      <c r="T122" s="425"/>
      <c r="U122" s="422" t="s">
        <v>115</v>
      </c>
      <c r="V122" s="270"/>
      <c r="W122" s="425"/>
      <c r="X122" s="422" t="s">
        <v>495</v>
      </c>
      <c r="Y122" s="270"/>
      <c r="Z122" s="422" t="s">
        <v>496</v>
      </c>
      <c r="AA122" s="270"/>
      <c r="AB122" s="425"/>
      <c r="AC122" s="422" t="s">
        <v>287</v>
      </c>
      <c r="AD122" s="401"/>
      <c r="AE122" s="433"/>
      <c r="AF122" s="471"/>
      <c r="AG122" s="425"/>
      <c r="AH122" s="422" t="s">
        <v>288</v>
      </c>
      <c r="AI122" s="270"/>
      <c r="AJ122" s="425"/>
      <c r="AK122" s="425"/>
      <c r="AL122" s="425"/>
      <c r="AM122" s="422" t="s">
        <v>116</v>
      </c>
      <c r="AN122" s="270"/>
      <c r="AO122" s="425"/>
      <c r="AP122" s="422" t="s">
        <v>289</v>
      </c>
      <c r="AQ122" s="270"/>
      <c r="AR122" s="422" t="s">
        <v>290</v>
      </c>
      <c r="AS122" s="270"/>
      <c r="AT122" s="425"/>
      <c r="AU122" s="422" t="s">
        <v>291</v>
      </c>
      <c r="AV122" s="401"/>
      <c r="AW122" s="342"/>
      <c r="AX122" s="342"/>
      <c r="AY122" s="342"/>
      <c r="AZ122" s="342"/>
      <c r="BA122" s="342"/>
      <c r="BB122" s="342"/>
      <c r="BC122" s="342"/>
      <c r="BD122" s="342"/>
      <c r="BE122" s="342"/>
      <c r="BF122" s="342"/>
      <c r="BG122" s="342"/>
      <c r="BH122" s="342"/>
      <c r="BI122" s="342"/>
    </row>
    <row r="123" spans="1:136" ht="15.75" outlineLevel="1" thickBot="1" x14ac:dyDescent="0.3">
      <c r="B123" s="530">
        <f>C16</f>
        <v>22.5</v>
      </c>
      <c r="C123" s="446" t="s">
        <v>1</v>
      </c>
      <c r="D123" s="342"/>
      <c r="E123" s="408">
        <f>E16</f>
        <v>4.95</v>
      </c>
      <c r="F123" s="410" t="s">
        <v>1</v>
      </c>
      <c r="G123" s="411">
        <f>G16</f>
        <v>0</v>
      </c>
      <c r="H123" s="410" t="s">
        <v>1</v>
      </c>
      <c r="I123" s="411">
        <f>I16</f>
        <v>0</v>
      </c>
      <c r="J123" s="410" t="s">
        <v>1</v>
      </c>
      <c r="K123" s="411">
        <f>K16</f>
        <v>0</v>
      </c>
      <c r="L123" s="409" t="s">
        <v>2</v>
      </c>
      <c r="M123" s="420"/>
      <c r="N123" s="494"/>
      <c r="O123" s="495"/>
      <c r="P123" s="411">
        <f>P31+P46+P58+P70+P82+P94</f>
        <v>4930</v>
      </c>
      <c r="Q123" s="496" t="s">
        <v>6</v>
      </c>
      <c r="R123" s="495"/>
      <c r="S123" s="495"/>
      <c r="T123" s="495"/>
      <c r="U123" s="411">
        <f>U16+U31+U46+U58+U70+U82+U94</f>
        <v>63301.608086989945</v>
      </c>
      <c r="V123" s="496" t="s">
        <v>6</v>
      </c>
      <c r="W123" s="495"/>
      <c r="X123" s="411">
        <f>X16+X31+X46+X58+X70+X82+X94</f>
        <v>68231.608086989945</v>
      </c>
      <c r="Y123" s="410" t="s">
        <v>6</v>
      </c>
      <c r="Z123" s="497">
        <f>Z16+Z31+Z46+Z58+Z70+Z82+Z94</f>
        <v>13784.163249896959</v>
      </c>
      <c r="AA123" s="410" t="s">
        <v>72</v>
      </c>
      <c r="AB123" s="495"/>
      <c r="AC123" s="411">
        <f>AC16+AC31+AC46+AC58+AC70+AC82+AC94+AC106+AC112</f>
        <v>0</v>
      </c>
      <c r="AD123" s="409" t="s">
        <v>6</v>
      </c>
      <c r="AE123" s="433"/>
      <c r="AF123" s="494"/>
      <c r="AG123" s="495"/>
      <c r="AH123" s="497">
        <f>AH31+AH46+AH58+AH70</f>
        <v>0.94199999999999995</v>
      </c>
      <c r="AI123" s="410" t="s">
        <v>21</v>
      </c>
      <c r="AJ123" s="495"/>
      <c r="AK123" s="495"/>
      <c r="AL123" s="495"/>
      <c r="AM123" s="497">
        <f>AM16+AM31+AM46+AM58+AM70</f>
        <v>195.94424069729706</v>
      </c>
      <c r="AN123" s="410" t="s">
        <v>21</v>
      </c>
      <c r="AO123" s="495"/>
      <c r="AP123" s="497">
        <f>AP16+AP31+AP46+AP58+AP70</f>
        <v>196.88624069729707</v>
      </c>
      <c r="AQ123" s="410" t="s">
        <v>21</v>
      </c>
      <c r="AR123" s="497">
        <f>AR16+AR31+AR46+AR58+AR70</f>
        <v>39.774998120666076</v>
      </c>
      <c r="AS123" s="410" t="s">
        <v>73</v>
      </c>
      <c r="AT123" s="495"/>
      <c r="AU123" s="411">
        <f>AU16+AU31+AU46+AU58+AU70+AU112</f>
        <v>0</v>
      </c>
      <c r="AV123" s="409" t="s">
        <v>21</v>
      </c>
      <c r="AW123" s="342"/>
      <c r="AX123" s="342"/>
      <c r="AY123" s="342"/>
      <c r="AZ123" s="342"/>
      <c r="BA123" s="342"/>
      <c r="BB123" s="342"/>
      <c r="BC123" s="342"/>
      <c r="BD123" s="342"/>
      <c r="BE123" s="342"/>
      <c r="BF123" s="342"/>
      <c r="BG123" s="342"/>
      <c r="BH123" s="342"/>
      <c r="BI123" s="342"/>
    </row>
    <row r="124" spans="1:136"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row>
    <row r="125" spans="1:136" x14ac:dyDescent="0.25">
      <c r="E125" s="342"/>
      <c r="F125" s="342"/>
      <c r="G125" s="342"/>
      <c r="H125" s="342"/>
      <c r="I125" s="342"/>
      <c r="J125" s="342"/>
      <c r="K125" s="342"/>
      <c r="L125" s="342"/>
    </row>
    <row r="126" spans="1:136" x14ac:dyDescent="0.25">
      <c r="E126" s="342"/>
      <c r="F126" s="342"/>
      <c r="G126" s="342"/>
      <c r="H126" s="342"/>
      <c r="I126" s="342"/>
      <c r="J126" s="342"/>
      <c r="K126" s="342"/>
      <c r="L126" s="342"/>
    </row>
    <row r="127" spans="1:136" x14ac:dyDescent="0.25">
      <c r="E127" s="342"/>
      <c r="F127" s="342"/>
      <c r="G127" s="342"/>
      <c r="H127" s="342"/>
      <c r="I127" s="342"/>
      <c r="J127" s="342"/>
      <c r="K127" s="342"/>
      <c r="L127" s="342"/>
    </row>
    <row r="129" spans="2:12" x14ac:dyDescent="0.25">
      <c r="B129" s="342"/>
      <c r="C129" s="342"/>
      <c r="D129" s="342"/>
      <c r="E129" s="342"/>
      <c r="F129" s="342"/>
      <c r="G129" s="342"/>
      <c r="H129" s="342"/>
      <c r="I129" s="342"/>
      <c r="J129" s="342"/>
      <c r="K129" s="342"/>
      <c r="L129" s="342"/>
    </row>
    <row r="130" spans="2:12" x14ac:dyDescent="0.25">
      <c r="B130" s="342"/>
      <c r="C130" s="342"/>
      <c r="D130" s="342"/>
      <c r="E130" s="342"/>
      <c r="F130" s="342"/>
      <c r="G130" s="342"/>
      <c r="H130" s="342"/>
      <c r="I130" s="342"/>
      <c r="J130" s="342"/>
      <c r="K130" s="342"/>
      <c r="L130" s="342"/>
    </row>
    <row r="131" spans="2:12" x14ac:dyDescent="0.25">
      <c r="B131" s="342"/>
      <c r="C131" s="342"/>
      <c r="D131" s="342"/>
      <c r="E131" s="342"/>
      <c r="F131" s="342"/>
      <c r="G131" s="342"/>
      <c r="H131" s="342"/>
      <c r="I131" s="342"/>
      <c r="J131" s="342"/>
      <c r="K131" s="342"/>
      <c r="L131" s="342"/>
    </row>
  </sheetData>
  <sheetProtection algorithmName="SHA-512" hashValue="/AFsLD+exdQKjkALAJcO4Uz4N6zSIAMlogV+ftnR27w40hE80fTrokAoz2N6VXW/BSCVJFkPww52A87agUIbEQ==" saltValue="lmRt6T3D4gweQE6MH3ihOQ==" spinCount="100000" sheet="1" objects="1" scenarios="1"/>
  <mergeCells count="178">
    <mergeCell ref="B1:G1"/>
    <mergeCell ref="G84:H84"/>
    <mergeCell ref="B90:AV90"/>
    <mergeCell ref="B92:L92"/>
    <mergeCell ref="N92:AD92"/>
    <mergeCell ref="B80:L80"/>
    <mergeCell ref="N80:AD80"/>
    <mergeCell ref="G81:H81"/>
    <mergeCell ref="I81:L81"/>
    <mergeCell ref="N81:O81"/>
    <mergeCell ref="P81:Q81"/>
    <mergeCell ref="S81:T81"/>
    <mergeCell ref="U81:V81"/>
    <mergeCell ref="X81:Y81"/>
    <mergeCell ref="Z81:AA81"/>
    <mergeCell ref="AC81:AD81"/>
    <mergeCell ref="B54:H54"/>
    <mergeCell ref="B56:L56"/>
    <mergeCell ref="N56:AD56"/>
    <mergeCell ref="AF56:AV56"/>
    <mergeCell ref="G57:H57"/>
    <mergeCell ref="AH57:AI57"/>
    <mergeCell ref="AK57:AL57"/>
    <mergeCell ref="AM57:AN57"/>
    <mergeCell ref="AP57:AQ57"/>
    <mergeCell ref="AR57:AS57"/>
    <mergeCell ref="AU57:AV57"/>
    <mergeCell ref="I57:L57"/>
    <mergeCell ref="N57:O57"/>
    <mergeCell ref="P57:Q57"/>
    <mergeCell ref="S57:T57"/>
    <mergeCell ref="U57:V57"/>
    <mergeCell ref="X57:Y57"/>
    <mergeCell ref="Z57:AA57"/>
    <mergeCell ref="AC57:AD57"/>
    <mergeCell ref="AF57:AG57"/>
    <mergeCell ref="B42:H42"/>
    <mergeCell ref="B44:L44"/>
    <mergeCell ref="N44:AD44"/>
    <mergeCell ref="AF44:AV44"/>
    <mergeCell ref="G45:H45"/>
    <mergeCell ref="I45:L45"/>
    <mergeCell ref="N45:O45"/>
    <mergeCell ref="P45:Q45"/>
    <mergeCell ref="S45:T45"/>
    <mergeCell ref="U45:V45"/>
    <mergeCell ref="AM45:AN45"/>
    <mergeCell ref="AP45:AQ45"/>
    <mergeCell ref="AR45:AS45"/>
    <mergeCell ref="AU45:AV45"/>
    <mergeCell ref="X45:Y45"/>
    <mergeCell ref="Z45:AA45"/>
    <mergeCell ref="AC45:AD45"/>
    <mergeCell ref="AF45:AG45"/>
    <mergeCell ref="AH45:AI45"/>
    <mergeCell ref="AK45:AL45"/>
    <mergeCell ref="AK30:AL30"/>
    <mergeCell ref="AM30:AN30"/>
    <mergeCell ref="AP30:AQ30"/>
    <mergeCell ref="AR30:AS30"/>
    <mergeCell ref="AU30:AV30"/>
    <mergeCell ref="B40:AV40"/>
    <mergeCell ref="U30:V30"/>
    <mergeCell ref="X30:Y30"/>
    <mergeCell ref="Z30:AA30"/>
    <mergeCell ref="AC30:AD30"/>
    <mergeCell ref="AF30:AG30"/>
    <mergeCell ref="AH30:AI30"/>
    <mergeCell ref="B30:B31"/>
    <mergeCell ref="G30:H30"/>
    <mergeCell ref="I30:L30"/>
    <mergeCell ref="N30:O30"/>
    <mergeCell ref="P30:Q30"/>
    <mergeCell ref="S30:T30"/>
    <mergeCell ref="AP15:AQ15"/>
    <mergeCell ref="AR15:AS15"/>
    <mergeCell ref="AU15:AV15"/>
    <mergeCell ref="B27:AV27"/>
    <mergeCell ref="B29:L29"/>
    <mergeCell ref="N29:AD29"/>
    <mergeCell ref="AF29:AV29"/>
    <mergeCell ref="U15:V15"/>
    <mergeCell ref="X15:Y15"/>
    <mergeCell ref="Z15:AA15"/>
    <mergeCell ref="AC15:AD15"/>
    <mergeCell ref="AK15:AL15"/>
    <mergeCell ref="AM15:AN15"/>
    <mergeCell ref="B15:B16"/>
    <mergeCell ref="C15:D15"/>
    <mergeCell ref="S15:T15"/>
    <mergeCell ref="E15:F15"/>
    <mergeCell ref="G15:H15"/>
    <mergeCell ref="I15:J15"/>
    <mergeCell ref="K15:L15"/>
    <mergeCell ref="B12:AV12"/>
    <mergeCell ref="B14:L14"/>
    <mergeCell ref="N14:AD14"/>
    <mergeCell ref="AF14:AV14"/>
    <mergeCell ref="B6:AV6"/>
    <mergeCell ref="B8:C8"/>
    <mergeCell ref="B9:C9"/>
    <mergeCell ref="E9:F9"/>
    <mergeCell ref="G9:H9"/>
    <mergeCell ref="I9:J9"/>
    <mergeCell ref="E8:J8"/>
    <mergeCell ref="N9:O9"/>
    <mergeCell ref="N2:Z4"/>
    <mergeCell ref="N121:AD121"/>
    <mergeCell ref="AF121:AV121"/>
    <mergeCell ref="B119:AV119"/>
    <mergeCell ref="B121:C121"/>
    <mergeCell ref="E121:L121"/>
    <mergeCell ref="B122:C122"/>
    <mergeCell ref="E122:F122"/>
    <mergeCell ref="G122:H122"/>
    <mergeCell ref="I122:J122"/>
    <mergeCell ref="K122:L122"/>
    <mergeCell ref="P122:Q122"/>
    <mergeCell ref="U122:V122"/>
    <mergeCell ref="X122:Y122"/>
    <mergeCell ref="Z122:AA122"/>
    <mergeCell ref="AC122:AD122"/>
    <mergeCell ref="AH122:AI122"/>
    <mergeCell ref="AM122:AN122"/>
    <mergeCell ref="AP122:AQ122"/>
    <mergeCell ref="AR122:AS122"/>
    <mergeCell ref="AU122:AV122"/>
    <mergeCell ref="G60:H60"/>
    <mergeCell ref="B66:H66"/>
    <mergeCell ref="B68:L68"/>
    <mergeCell ref="S93:T93"/>
    <mergeCell ref="U93:V93"/>
    <mergeCell ref="X93:Y93"/>
    <mergeCell ref="G105:H105"/>
    <mergeCell ref="N68:AD68"/>
    <mergeCell ref="AF68:AV68"/>
    <mergeCell ref="AR69:AS69"/>
    <mergeCell ref="AU69:AV69"/>
    <mergeCell ref="G72:H72"/>
    <mergeCell ref="B78:H78"/>
    <mergeCell ref="U69:V69"/>
    <mergeCell ref="X69:Y69"/>
    <mergeCell ref="Z69:AA69"/>
    <mergeCell ref="AC69:AD69"/>
    <mergeCell ref="AF69:AG69"/>
    <mergeCell ref="AH69:AI69"/>
    <mergeCell ref="AK69:AL69"/>
    <mergeCell ref="AM69:AN69"/>
    <mergeCell ref="AP69:AQ69"/>
    <mergeCell ref="G69:H69"/>
    <mergeCell ref="I69:L69"/>
    <mergeCell ref="N69:O69"/>
    <mergeCell ref="P69:Q69"/>
    <mergeCell ref="S69:T69"/>
    <mergeCell ref="B4:L4"/>
    <mergeCell ref="B108:AV108"/>
    <mergeCell ref="B110:L110"/>
    <mergeCell ref="N110:AD110"/>
    <mergeCell ref="AF110:AV110"/>
    <mergeCell ref="B111:B112"/>
    <mergeCell ref="I111:L111"/>
    <mergeCell ref="N111:O111"/>
    <mergeCell ref="AC111:AD111"/>
    <mergeCell ref="AF111:AG111"/>
    <mergeCell ref="AU111:AV111"/>
    <mergeCell ref="G111:H111"/>
    <mergeCell ref="Z93:AA93"/>
    <mergeCell ref="AC93:AD93"/>
    <mergeCell ref="B102:AV102"/>
    <mergeCell ref="B104:L104"/>
    <mergeCell ref="N104:AD104"/>
    <mergeCell ref="I105:L105"/>
    <mergeCell ref="N105:O105"/>
    <mergeCell ref="AC105:AD105"/>
    <mergeCell ref="G93:H93"/>
    <mergeCell ref="I93:L93"/>
    <mergeCell ref="N93:O93"/>
    <mergeCell ref="P93:Q93"/>
  </mergeCells>
  <conditionalFormatting sqref="N10">
    <cfRule type="expression" dxfId="67" priority="1">
      <formula>IF($N$10&gt;100,TRUE,FALSE)</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B7ECB3D-E958-419E-8F63-FB92A34A157C}">
            <xm:f>IF($B$46=Annexes!$B$3,TRUE,FALSE)</xm:f>
            <x14:dxf>
              <fill>
                <patternFill>
                  <bgColor theme="7" tint="0.79998168889431442"/>
                </patternFill>
              </fill>
            </x14:dxf>
          </x14:cfRule>
          <xm:sqref>G46</xm:sqref>
        </x14:conditionalFormatting>
        <x14:conditionalFormatting xmlns:xm="http://schemas.microsoft.com/office/excel/2006/main">
          <x14:cfRule type="expression" priority="4" id="{4A5D44E4-31E2-4FB6-8496-5B3805DA1543}">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3" id="{B822B9CD-EE1A-42FD-A4B1-44F5774104B3}">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5" id="{85809925-0912-4DC8-896B-399AEBD9C96E}">
            <xm:f>IF($B$58=Annexes!$B$3,TRUE,FALSE)</xm:f>
            <x14:dxf>
              <fill>
                <patternFill>
                  <bgColor theme="7" tint="0.79998168889431442"/>
                </patternFill>
              </fill>
            </x14:dxf>
          </x14:cfRule>
          <xm:sqref>G58</xm:sqref>
        </x14:conditionalFormatting>
        <x14:conditionalFormatting xmlns:xm="http://schemas.microsoft.com/office/excel/2006/main">
          <x14:cfRule type="expression" priority="7" id="{F6EC6EFA-C073-420F-8370-3294151AC7C2}">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6" id="{C5A29D72-9825-4280-9761-37DBBA551B8C}">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8" id="{9CFE5730-2815-4523-9167-1D2FB5838529}">
            <xm:f>IF($B$70=Annexes!$B$3,TRUE,FALSE)</xm:f>
            <x14:dxf>
              <fill>
                <patternFill>
                  <bgColor theme="7" tint="0.79998168889431442"/>
                </patternFill>
              </fill>
            </x14:dxf>
          </x14:cfRule>
          <xm:sqref>G70</xm:sqref>
        </x14:conditionalFormatting>
        <x14:conditionalFormatting xmlns:xm="http://schemas.microsoft.com/office/excel/2006/main">
          <x14:cfRule type="expression" priority="10" id="{D522875E-733F-4992-9E62-698F69278DB4}">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9" id="{542BA7FD-9D81-4FD0-A95A-00E0A57ED272}">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11" id="{A5ABC445-9E9B-46BF-85D2-623B61E18399}">
            <xm:f>IF($B$82=Annexes!$B$3,TRUE,FALSE)</xm:f>
            <x14:dxf>
              <fill>
                <patternFill>
                  <bgColor theme="7" tint="0.79998168889431442"/>
                </patternFill>
              </fill>
            </x14:dxf>
          </x14:cfRule>
          <xm:sqref>G82</xm:sqref>
        </x14:conditionalFormatting>
        <x14:conditionalFormatting xmlns:xm="http://schemas.microsoft.com/office/excel/2006/main">
          <x14:cfRule type="expression" priority="13" id="{73BB640B-772D-4590-93B0-36F26C290C85}">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12" id="{1851BDB0-CAD1-47B1-B454-4B2DD8588B8C}">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14" id="{F5EBDD3B-EEA6-4986-8243-99D632452936}">
            <xm:f>IF($B$94=Annexes!$B$3,TRUE,FALSE)</xm:f>
            <x14:dxf>
              <fill>
                <patternFill>
                  <bgColor theme="7" tint="0.79998168889431442"/>
                </patternFill>
              </fill>
            </x14:dxf>
          </x14:cfRule>
          <xm:sqref>G94</xm:sqref>
        </x14:conditionalFormatting>
        <x14:conditionalFormatting xmlns:xm="http://schemas.microsoft.com/office/excel/2006/main">
          <x14:cfRule type="expression" priority="15" id="{20128E7B-297A-460A-9651-04ED4A6320E4}">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16" id="{2F143BBB-307A-4C70-B362-74826FE7E31A}">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GENERALITES!$B$36:$B$41</xm:f>
          </x14:formula1>
          <xm:sqref>B33:B38</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GENERALITES!$B$21:$B$31</xm:f>
          </x14:formula1>
          <xm:sqref>B18:B25</xm:sqref>
        </x14:dataValidation>
        <x14:dataValidation type="list" allowBlank="1" showInputMessage="1" showErrorMessage="1">
          <x14:formula1>
            <xm:f>Annexes!$B$3:$B$4</xm:f>
          </x14:formula1>
          <xm:sqref>B46 B58 B70 B82 B94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F131"/>
  <sheetViews>
    <sheetView showGridLines="0" zoomScaleNormal="100" workbookViewId="0"/>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0.28515625" style="386" bestFit="1" customWidth="1"/>
    <col min="17" max="17" width="6.28515625" style="386" customWidth="1"/>
    <col min="18" max="18" width="1.140625" style="386" customWidth="1"/>
    <col min="19" max="19" width="9.42578125" style="386" customWidth="1"/>
    <col min="20" max="20" width="6.28515625" style="386" customWidth="1"/>
    <col min="21" max="21" width="12.7109375" style="386" bestFit="1" customWidth="1"/>
    <col min="22" max="22" width="6.28515625" style="386" customWidth="1"/>
    <col min="23" max="23" width="1.140625" style="386" customWidth="1"/>
    <col min="24" max="24" width="12.7109375" style="386" bestFit="1" customWidth="1"/>
    <col min="25" max="25" width="6.28515625" style="386" customWidth="1"/>
    <col min="26" max="26" width="9.42578125" style="386" customWidth="1"/>
    <col min="27" max="27" width="6.28515625" style="386" customWidth="1"/>
    <col min="28" max="28" width="1.140625" style="386" customWidth="1"/>
    <col min="29" max="29" width="12.7109375" style="386" customWidth="1"/>
    <col min="30" max="30" width="6.42578125" style="386" customWidth="1"/>
    <col min="31" max="31" width="2.140625" style="386" customWidth="1"/>
    <col min="32" max="32" width="9.42578125" style="386" customWidth="1"/>
    <col min="33" max="33" width="12.140625" style="386" customWidth="1"/>
    <col min="34" max="34" width="9.42578125" style="386" customWidth="1"/>
    <col min="35" max="35" width="6.28515625" style="386" customWidth="1"/>
    <col min="36" max="36" width="1.140625" style="386" customWidth="1"/>
    <col min="37" max="37" width="9.42578125" style="386" customWidth="1"/>
    <col min="38" max="38" width="12.140625" style="386" customWidth="1"/>
    <col min="39" max="39" width="9.42578125" style="386" customWidth="1"/>
    <col min="40" max="40" width="6.28515625" style="386" customWidth="1"/>
    <col min="41" max="41" width="1.140625" style="386" customWidth="1"/>
    <col min="42" max="42" width="9.42578125" style="386" customWidth="1"/>
    <col min="43" max="43" width="6.28515625" style="386" customWidth="1"/>
    <col min="44" max="44" width="9.42578125" style="386" customWidth="1"/>
    <col min="45" max="45" width="12.140625" style="386" customWidth="1"/>
    <col min="46" max="46" width="1.140625" style="386" customWidth="1"/>
    <col min="47" max="47" width="9.42578125" style="386" customWidth="1"/>
    <col min="48" max="48" width="6.28515625" style="386" customWidth="1"/>
    <col min="49" max="49" width="2.140625" style="386" customWidth="1"/>
    <col min="50" max="50" width="9.42578125" style="386" customWidth="1"/>
    <col min="51" max="51" width="6.28515625" style="386" customWidth="1"/>
    <col min="52" max="52" width="9.42578125" style="386" customWidth="1"/>
    <col min="53" max="53" width="6.28515625" style="386" customWidth="1"/>
    <col min="54" max="54" width="9.42578125" style="386" customWidth="1"/>
    <col min="55" max="55" width="6.7109375" style="386" bestFit="1" customWidth="1"/>
    <col min="56" max="56" width="2.140625" style="386" customWidth="1"/>
    <col min="57" max="57" width="9.42578125" style="386" customWidth="1"/>
    <col min="58" max="58" width="12.140625" style="386" customWidth="1"/>
    <col min="59" max="59" width="9.42578125" style="386" customWidth="1"/>
    <col min="60" max="60" width="6.28515625" style="386" customWidth="1"/>
    <col min="61" max="61" width="9.42578125" style="386" customWidth="1"/>
    <col min="62" max="62" width="6.28515625" style="386" customWidth="1"/>
    <col min="63" max="63" width="9.42578125" style="386" customWidth="1"/>
    <col min="64" max="64" width="6.28515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9.42578125" style="386" customWidth="1"/>
    <col min="75" max="75" width="12" style="386" customWidth="1"/>
    <col min="76" max="76" width="9.42578125" style="386" customWidth="1"/>
    <col min="77" max="77" width="6.28515625" style="386" customWidth="1"/>
    <col min="78" max="78" width="9.42578125" style="386" customWidth="1"/>
    <col min="79" max="79" width="6.28515625" style="386" customWidth="1"/>
    <col min="80" max="80" width="2.140625" style="386" customWidth="1"/>
    <col min="81" max="81" width="9.42578125" style="386" customWidth="1"/>
    <col min="82" max="82" width="6.28515625" style="386" customWidth="1"/>
    <col min="83" max="83" width="9.42578125" style="386" customWidth="1"/>
    <col min="84" max="84" width="8.42578125" style="386" customWidth="1"/>
    <col min="85" max="85" width="9.42578125" style="386" customWidth="1"/>
    <col min="86" max="86" width="6.28515625" style="386" customWidth="1"/>
    <col min="87" max="87" width="9.42578125" style="386" customWidth="1"/>
    <col min="88" max="88" width="6.28515625" style="386" customWidth="1"/>
    <col min="89" max="89" width="2.140625" style="386" customWidth="1"/>
    <col min="90" max="90" width="18.7109375" style="386" customWidth="1"/>
    <col min="91" max="91" width="9.42578125" style="386" customWidth="1"/>
    <col min="92" max="92" width="6.28515625" style="386" customWidth="1"/>
    <col min="93" max="93" width="9.42578125" style="386" customWidth="1"/>
    <col min="94" max="94" width="9" style="386" customWidth="1"/>
    <col min="95" max="95" width="9.42578125" style="386" customWidth="1"/>
    <col min="96" max="96" width="6.28515625" style="386" customWidth="1"/>
    <col min="97" max="97" width="9.42578125" style="386" customWidth="1"/>
    <col min="98" max="98" width="6.28515625" style="386" customWidth="1"/>
    <col min="99" max="99" width="2.140625" style="386" customWidth="1"/>
    <col min="100" max="100" width="18.7109375" style="386" customWidth="1"/>
    <col min="101" max="101" width="9.42578125" style="386" customWidth="1"/>
    <col min="102" max="102" width="6.28515625" style="386" customWidth="1"/>
    <col min="103" max="103" width="9.42578125" style="386" customWidth="1"/>
    <col min="104" max="104" width="6.42578125" style="386" customWidth="1"/>
    <col min="105" max="105" width="9.42578125" style="386" customWidth="1"/>
    <col min="106" max="106" width="6.28515625" style="386" customWidth="1"/>
    <col min="107" max="107" width="9.42578125" style="386" customWidth="1"/>
    <col min="108" max="108" width="6.42578125" style="386" customWidth="1"/>
    <col min="109" max="109" width="9.42578125" style="386" customWidth="1"/>
    <col min="110" max="110" width="6.42578125" style="386" customWidth="1"/>
    <col min="111" max="111" width="2.140625" style="386" customWidth="1"/>
    <col min="112" max="112" width="12.85546875" style="386" customWidth="1"/>
    <col min="113" max="113" width="9.42578125" style="386" customWidth="1"/>
    <col min="114" max="114" width="8.28515625" style="386" customWidth="1"/>
    <col min="115" max="115" width="18.7109375" style="386" customWidth="1"/>
    <col min="116" max="116" width="9.42578125" style="386" customWidth="1"/>
    <col min="117" max="117" width="8.28515625" style="386" customWidth="1"/>
    <col min="118" max="118" width="9.42578125" style="386" customWidth="1"/>
    <col min="119" max="119" width="8.28515625" style="386" customWidth="1"/>
    <col min="120" max="120" width="9.42578125" style="386" customWidth="1"/>
    <col min="121" max="121" width="6.28515625" style="386" customWidth="1"/>
    <col min="122" max="122" width="9.42578125" style="386" customWidth="1"/>
    <col min="123" max="123" width="6.28515625" style="386" customWidth="1"/>
    <col min="124" max="124" width="2.140625" style="386" customWidth="1"/>
    <col min="125" max="125" width="18.7109375" style="386" customWidth="1"/>
    <col min="126" max="126" width="9.42578125" style="386" customWidth="1"/>
    <col min="127" max="127" width="6.28515625" style="386" customWidth="1"/>
    <col min="128" max="128" width="9.42578125" style="386" customWidth="1"/>
    <col min="129" max="129" width="6.28515625" style="386" customWidth="1"/>
    <col min="130" max="130" width="9.42578125" style="386" customWidth="1"/>
    <col min="131" max="131" width="6.28515625" style="386" customWidth="1"/>
    <col min="132" max="132" width="2.140625" style="386" customWidth="1"/>
    <col min="133" max="133" width="9.42578125" style="386" customWidth="1"/>
    <col min="134" max="134" width="12" style="386" customWidth="1"/>
    <col min="135" max="135" width="9.42578125" style="386" customWidth="1"/>
    <col min="136" max="136" width="6.28515625" style="386" customWidth="1"/>
    <col min="137" max="16384" width="11.42578125" style="386"/>
  </cols>
  <sheetData>
    <row r="1" spans="1:136" ht="24" thickBot="1" x14ac:dyDescent="0.4">
      <c r="A1" s="385"/>
      <c r="B1" s="178" t="s">
        <v>726</v>
      </c>
      <c r="C1" s="179"/>
      <c r="D1" s="179"/>
      <c r="E1" s="179"/>
      <c r="F1" s="179"/>
      <c r="G1" s="180"/>
    </row>
    <row r="2" spans="1:136" ht="78.75" customHeight="1" x14ac:dyDescent="0.25">
      <c r="B2" s="387" t="s">
        <v>292</v>
      </c>
      <c r="C2" s="387"/>
      <c r="D2" s="387"/>
      <c r="E2" s="387"/>
      <c r="F2" s="387"/>
      <c r="G2" s="387"/>
      <c r="H2" s="387"/>
      <c r="I2" s="387"/>
      <c r="J2" s="387"/>
      <c r="K2" s="387"/>
      <c r="L2" s="387"/>
      <c r="M2" s="387"/>
      <c r="N2" s="254" t="s">
        <v>721</v>
      </c>
      <c r="O2" s="255"/>
      <c r="P2" s="255"/>
      <c r="Q2" s="255"/>
      <c r="R2" s="255"/>
      <c r="S2" s="255"/>
      <c r="T2" s="255"/>
      <c r="U2" s="255"/>
      <c r="V2" s="255"/>
      <c r="W2" s="255"/>
      <c r="X2" s="255"/>
      <c r="Y2" s="255"/>
      <c r="Z2" s="256"/>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136" x14ac:dyDescent="0.25">
      <c r="A3" s="388"/>
      <c r="B3" s="498"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88"/>
      <c r="AH3" s="388"/>
      <c r="AI3" s="388"/>
      <c r="AJ3" s="388"/>
      <c r="AK3" s="388"/>
      <c r="AL3" s="388"/>
      <c r="AM3" s="388"/>
      <c r="AN3" s="388"/>
      <c r="AO3" s="388"/>
      <c r="AP3" s="388"/>
      <c r="AQ3" s="388"/>
      <c r="AR3" s="388"/>
      <c r="AS3" s="388"/>
      <c r="AT3" s="388"/>
      <c r="AU3" s="388"/>
      <c r="AV3" s="388"/>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row>
    <row r="4" spans="1:136" ht="24.75" customHeight="1" thickBot="1" x14ac:dyDescent="0.3">
      <c r="B4" s="390" t="s">
        <v>804</v>
      </c>
      <c r="C4" s="391"/>
      <c r="D4" s="391"/>
      <c r="E4" s="391"/>
      <c r="F4" s="391"/>
      <c r="G4" s="391"/>
      <c r="H4" s="391"/>
      <c r="I4" s="391"/>
      <c r="J4" s="391"/>
      <c r="K4" s="391"/>
      <c r="L4" s="392"/>
      <c r="M4" s="393"/>
      <c r="N4" s="275"/>
      <c r="O4" s="276"/>
      <c r="P4" s="276"/>
      <c r="Q4" s="276"/>
      <c r="R4" s="276"/>
      <c r="S4" s="276"/>
      <c r="T4" s="276"/>
      <c r="U4" s="276"/>
      <c r="V4" s="276"/>
      <c r="W4" s="276"/>
      <c r="X4" s="276"/>
      <c r="Y4" s="276"/>
      <c r="Z4" s="277"/>
      <c r="AA4" s="393"/>
      <c r="AB4" s="393"/>
      <c r="AC4" s="393"/>
      <c r="AD4" s="393"/>
      <c r="AE4" s="393"/>
    </row>
    <row r="5" spans="1:136" ht="15.75" thickBot="1" x14ac:dyDescent="0.3">
      <c r="A5" s="388"/>
      <c r="AC5" s="388"/>
      <c r="AD5" s="388"/>
      <c r="AE5" s="388"/>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342"/>
    </row>
    <row r="6" spans="1:136" ht="30" customHeight="1" thickBot="1" x14ac:dyDescent="0.3">
      <c r="A6" s="388"/>
      <c r="B6" s="499" t="s">
        <v>70</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1"/>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c r="DQ6" s="342"/>
      <c r="DR6" s="342"/>
      <c r="DS6" s="342"/>
      <c r="DT6" s="342"/>
      <c r="DU6" s="342"/>
      <c r="DV6" s="342"/>
      <c r="DW6" s="342"/>
      <c r="DX6" s="342"/>
      <c r="DY6" s="342"/>
      <c r="DZ6" s="342"/>
      <c r="EA6" s="342"/>
      <c r="EB6" s="342"/>
      <c r="EC6" s="342"/>
      <c r="ED6" s="342"/>
      <c r="EE6" s="342"/>
      <c r="EF6" s="342"/>
    </row>
    <row r="7" spans="1:136"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42"/>
      <c r="AX7" s="342"/>
      <c r="AY7" s="398"/>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row>
    <row r="8" spans="1:136" ht="15" customHeight="1" outlineLevel="1" thickBot="1" x14ac:dyDescent="0.3">
      <c r="A8" s="342"/>
      <c r="B8" s="531" t="s">
        <v>712</v>
      </c>
      <c r="C8" s="532"/>
      <c r="D8" s="342"/>
      <c r="E8" s="531" t="s">
        <v>713</v>
      </c>
      <c r="F8" s="533"/>
      <c r="G8" s="533"/>
      <c r="H8" s="533"/>
      <c r="I8" s="533"/>
      <c r="J8" s="532"/>
      <c r="K8" s="342"/>
      <c r="L8" s="342"/>
      <c r="M8" s="342"/>
      <c r="AU8" s="342"/>
      <c r="AV8" s="342"/>
      <c r="AW8" s="342"/>
      <c r="AX8" s="398"/>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342"/>
    </row>
    <row r="9" spans="1:136" ht="66.75" customHeight="1" outlineLevel="1" x14ac:dyDescent="0.25">
      <c r="A9" s="342"/>
      <c r="B9" s="269" t="s">
        <v>562</v>
      </c>
      <c r="C9" s="401"/>
      <c r="D9" s="342"/>
      <c r="E9" s="269" t="s">
        <v>553</v>
      </c>
      <c r="F9" s="270"/>
      <c r="G9" s="422" t="s">
        <v>55</v>
      </c>
      <c r="H9" s="270"/>
      <c r="I9" s="422" t="s">
        <v>56</v>
      </c>
      <c r="J9" s="401"/>
      <c r="M9" s="342"/>
      <c r="N9" s="502" t="s">
        <v>564</v>
      </c>
      <c r="O9" s="503"/>
      <c r="AU9" s="342"/>
      <c r="AV9" s="342"/>
      <c r="AW9" s="342"/>
      <c r="AX9" s="342"/>
      <c r="AY9" s="398"/>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row>
    <row r="10" spans="1:136" ht="16.5" customHeight="1" outlineLevel="1" thickBot="1" x14ac:dyDescent="0.3">
      <c r="A10" s="342"/>
      <c r="B10" s="408">
        <f>C16</f>
        <v>5.5600000000000005</v>
      </c>
      <c r="C10" s="409" t="s">
        <v>1</v>
      </c>
      <c r="D10" s="342"/>
      <c r="E10" s="408">
        <f>E16</f>
        <v>5.5600000000000005</v>
      </c>
      <c r="F10" s="410" t="s">
        <v>1</v>
      </c>
      <c r="G10" s="411">
        <f>G16</f>
        <v>0.5605</v>
      </c>
      <c r="H10" s="410" t="s">
        <v>1</v>
      </c>
      <c r="I10" s="411">
        <f>E10-G10</f>
        <v>4.9995000000000003</v>
      </c>
      <c r="J10" s="409" t="s">
        <v>1</v>
      </c>
      <c r="M10" s="342"/>
      <c r="N10" s="408">
        <f>IF(E10&lt;&gt;0,G10/E10*100,0)</f>
        <v>10.080935251798561</v>
      </c>
      <c r="O10" s="409" t="s">
        <v>2</v>
      </c>
      <c r="S10" s="342"/>
      <c r="AU10" s="342"/>
      <c r="AV10" s="342"/>
      <c r="AW10" s="342"/>
      <c r="AX10" s="342"/>
      <c r="AY10" s="398"/>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row>
    <row r="11" spans="1:136" ht="15.75" thickBot="1" x14ac:dyDescent="0.3">
      <c r="A11" s="388"/>
      <c r="E11" s="342"/>
      <c r="F11" s="342"/>
      <c r="G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row>
    <row r="12" spans="1:136" ht="30" customHeight="1" thickBot="1" x14ac:dyDescent="0.3">
      <c r="A12" s="388"/>
      <c r="B12" s="499" t="s">
        <v>64</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1"/>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row>
    <row r="13" spans="1:136"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3"/>
      <c r="W13" s="413"/>
      <c r="X13" s="413"/>
      <c r="Y13" s="413"/>
      <c r="Z13" s="413"/>
      <c r="AA13" s="413"/>
      <c r="AB13" s="413"/>
      <c r="AC13" s="413"/>
      <c r="AD13" s="414"/>
      <c r="AF13" s="412"/>
      <c r="AG13" s="413"/>
      <c r="AH13" s="413"/>
      <c r="AI13" s="413"/>
      <c r="AJ13" s="413"/>
      <c r="AK13" s="413"/>
      <c r="AL13" s="413"/>
      <c r="AM13" s="413"/>
      <c r="AN13" s="413"/>
      <c r="AO13" s="413"/>
      <c r="AP13" s="413"/>
      <c r="AQ13" s="413"/>
      <c r="AR13" s="413"/>
      <c r="AS13" s="413"/>
      <c r="AT13" s="413"/>
      <c r="AU13" s="413"/>
      <c r="AV13" s="414"/>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row>
    <row r="14" spans="1:136"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289"/>
      <c r="W14" s="289"/>
      <c r="X14" s="289"/>
      <c r="Y14" s="289"/>
      <c r="Z14" s="289"/>
      <c r="AA14" s="289"/>
      <c r="AB14" s="289"/>
      <c r="AC14" s="289"/>
      <c r="AD14" s="419"/>
      <c r="AE14" s="420"/>
      <c r="AF14" s="418" t="s">
        <v>45</v>
      </c>
      <c r="AG14" s="289"/>
      <c r="AH14" s="289"/>
      <c r="AI14" s="289"/>
      <c r="AJ14" s="289"/>
      <c r="AK14" s="289"/>
      <c r="AL14" s="289"/>
      <c r="AM14" s="289"/>
      <c r="AN14" s="289"/>
      <c r="AO14" s="289"/>
      <c r="AP14" s="289"/>
      <c r="AQ14" s="289"/>
      <c r="AR14" s="289"/>
      <c r="AS14" s="289"/>
      <c r="AT14" s="289"/>
      <c r="AU14" s="289"/>
      <c r="AV14" s="419"/>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row>
    <row r="15" spans="1:136" ht="43.5" customHeight="1" outlineLevel="1" x14ac:dyDescent="0.25">
      <c r="A15" s="388"/>
      <c r="B15" s="421" t="s">
        <v>568</v>
      </c>
      <c r="C15" s="422" t="s">
        <v>559</v>
      </c>
      <c r="D15" s="270"/>
      <c r="E15" s="422" t="s">
        <v>590</v>
      </c>
      <c r="F15" s="270"/>
      <c r="G15" s="422" t="s">
        <v>563</v>
      </c>
      <c r="H15" s="270"/>
      <c r="I15" s="422" t="s">
        <v>558</v>
      </c>
      <c r="J15" s="270"/>
      <c r="K15" s="422" t="s">
        <v>564</v>
      </c>
      <c r="L15" s="401"/>
      <c r="M15" s="342"/>
      <c r="N15" s="487"/>
      <c r="O15" s="434"/>
      <c r="P15" s="434"/>
      <c r="Q15" s="434"/>
      <c r="R15" s="425"/>
      <c r="S15" s="422" t="s">
        <v>10</v>
      </c>
      <c r="T15" s="270"/>
      <c r="U15" s="422" t="s">
        <v>110</v>
      </c>
      <c r="V15" s="270"/>
      <c r="W15" s="425"/>
      <c r="X15" s="422" t="s">
        <v>293</v>
      </c>
      <c r="Y15" s="270"/>
      <c r="Z15" s="422" t="s">
        <v>294</v>
      </c>
      <c r="AA15" s="270"/>
      <c r="AB15" s="425"/>
      <c r="AC15" s="422" t="s">
        <v>295</v>
      </c>
      <c r="AD15" s="401"/>
      <c r="AE15" s="342"/>
      <c r="AF15" s="471"/>
      <c r="AG15" s="434"/>
      <c r="AH15" s="434"/>
      <c r="AI15" s="434"/>
      <c r="AJ15" s="425"/>
      <c r="AK15" s="422" t="s">
        <v>45</v>
      </c>
      <c r="AL15" s="270"/>
      <c r="AM15" s="422" t="s">
        <v>111</v>
      </c>
      <c r="AN15" s="270"/>
      <c r="AO15" s="425"/>
      <c r="AP15" s="422" t="s">
        <v>296</v>
      </c>
      <c r="AQ15" s="270"/>
      <c r="AR15" s="422" t="s">
        <v>297</v>
      </c>
      <c r="AS15" s="270"/>
      <c r="AT15" s="425"/>
      <c r="AU15" s="422" t="s">
        <v>298</v>
      </c>
      <c r="AV15" s="401"/>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row>
    <row r="16" spans="1:136" outlineLevel="1" x14ac:dyDescent="0.25">
      <c r="A16" s="388"/>
      <c r="B16" s="426"/>
      <c r="C16" s="302">
        <f>SUM(C18:C25)</f>
        <v>5.5600000000000005</v>
      </c>
      <c r="D16" s="427" t="s">
        <v>1</v>
      </c>
      <c r="E16" s="302">
        <f>SUM(E18:E25)</f>
        <v>5.5600000000000005</v>
      </c>
      <c r="F16" s="427" t="s">
        <v>1</v>
      </c>
      <c r="G16" s="302">
        <f>SUM(G18:G25)</f>
        <v>0.5605</v>
      </c>
      <c r="H16" s="427" t="s">
        <v>1</v>
      </c>
      <c r="I16" s="302">
        <f>SUM(I18:I25)</f>
        <v>0.5605</v>
      </c>
      <c r="J16" s="427" t="s">
        <v>1</v>
      </c>
      <c r="K16" s="302">
        <f>IF(E16&gt;0,G16/E16*100,"")</f>
        <v>10.080935251798561</v>
      </c>
      <c r="L16" s="428" t="s">
        <v>2</v>
      </c>
      <c r="M16" s="342"/>
      <c r="N16" s="487"/>
      <c r="O16" s="434" t="s">
        <v>40</v>
      </c>
      <c r="P16" s="434"/>
      <c r="Q16" s="434"/>
      <c r="R16" s="425"/>
      <c r="S16" s="504"/>
      <c r="T16" s="427" t="s">
        <v>0</v>
      </c>
      <c r="U16" s="302">
        <f>'ETAPE 1'!P16</f>
        <v>47630</v>
      </c>
      <c r="V16" s="427" t="s">
        <v>6</v>
      </c>
      <c r="W16" s="425"/>
      <c r="X16" s="302">
        <f>U16</f>
        <v>47630</v>
      </c>
      <c r="Y16" s="427" t="s">
        <v>6</v>
      </c>
      <c r="Z16" s="302">
        <f>IF($E$10&lt;&gt;0,X16/$E$10,0)</f>
        <v>8566.5467625899273</v>
      </c>
      <c r="AA16" s="430" t="s">
        <v>72</v>
      </c>
      <c r="AB16" s="425"/>
      <c r="AC16" s="302">
        <f>G16*Z16</f>
        <v>4801.5494604316546</v>
      </c>
      <c r="AD16" s="428" t="s">
        <v>6</v>
      </c>
      <c r="AE16" s="342"/>
      <c r="AF16" s="471"/>
      <c r="AG16" s="434"/>
      <c r="AH16" s="434"/>
      <c r="AI16" s="434"/>
      <c r="AJ16" s="425"/>
      <c r="AK16" s="504"/>
      <c r="AL16" s="427" t="s">
        <v>20</v>
      </c>
      <c r="AM16" s="302">
        <f>'ETAPE 1'!Z16</f>
        <v>194.15207999999998</v>
      </c>
      <c r="AN16" s="427" t="s">
        <v>21</v>
      </c>
      <c r="AO16" s="425"/>
      <c r="AP16" s="302">
        <f>AM16</f>
        <v>194.15207999999998</v>
      </c>
      <c r="AQ16" s="427" t="s">
        <v>21</v>
      </c>
      <c r="AR16" s="302">
        <f>IF($E$10&lt;&gt;0,AP16/$E$10,0)</f>
        <v>34.919438848920855</v>
      </c>
      <c r="AS16" s="427" t="s">
        <v>73</v>
      </c>
      <c r="AT16" s="425"/>
      <c r="AU16" s="302">
        <f>G16*AR16</f>
        <v>19.572345474820139</v>
      </c>
      <c r="AV16" s="428" t="s">
        <v>21</v>
      </c>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row>
    <row r="17" spans="1:136" ht="6.75" customHeight="1" outlineLevel="1" x14ac:dyDescent="0.25">
      <c r="A17" s="388"/>
      <c r="B17" s="431"/>
      <c r="C17" s="420"/>
      <c r="D17" s="420"/>
      <c r="E17" s="420"/>
      <c r="F17" s="420"/>
      <c r="G17" s="420"/>
      <c r="H17" s="420"/>
      <c r="I17" s="420"/>
      <c r="J17" s="420"/>
      <c r="K17" s="420"/>
      <c r="L17" s="432"/>
      <c r="M17" s="420"/>
      <c r="N17" s="487"/>
      <c r="O17" s="434"/>
      <c r="P17" s="434"/>
      <c r="Q17" s="434"/>
      <c r="R17" s="420"/>
      <c r="S17" s="420"/>
      <c r="T17" s="420"/>
      <c r="U17" s="420"/>
      <c r="V17" s="420"/>
      <c r="W17" s="420"/>
      <c r="X17" s="420"/>
      <c r="Y17" s="420"/>
      <c r="Z17" s="433"/>
      <c r="AA17" s="433"/>
      <c r="AB17" s="433"/>
      <c r="AC17" s="420"/>
      <c r="AD17" s="432"/>
      <c r="AE17" s="388"/>
      <c r="AF17" s="487"/>
      <c r="AG17" s="434"/>
      <c r="AH17" s="434"/>
      <c r="AI17" s="434"/>
      <c r="AJ17" s="420"/>
      <c r="AK17" s="420"/>
      <c r="AL17" s="420"/>
      <c r="AM17" s="420"/>
      <c r="AN17" s="420"/>
      <c r="AO17" s="420"/>
      <c r="AP17" s="420"/>
      <c r="AQ17" s="420"/>
      <c r="AR17" s="420"/>
      <c r="AS17" s="420"/>
      <c r="AT17" s="420"/>
      <c r="AU17" s="420"/>
      <c r="AV17" s="43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row>
    <row r="18" spans="1:136" outlineLevel="1" x14ac:dyDescent="0.25">
      <c r="A18" s="388"/>
      <c r="B18" s="435" t="s">
        <v>791</v>
      </c>
      <c r="C18" s="340">
        <v>4.95</v>
      </c>
      <c r="D18" s="427" t="s">
        <v>1</v>
      </c>
      <c r="E18" s="436">
        <v>4.95</v>
      </c>
      <c r="F18" s="427" t="s">
        <v>1</v>
      </c>
      <c r="G18" s="436">
        <v>0.3</v>
      </c>
      <c r="H18" s="427" t="s">
        <v>1</v>
      </c>
      <c r="I18" s="436">
        <v>0.3</v>
      </c>
      <c r="J18" s="427" t="s">
        <v>1</v>
      </c>
      <c r="K18" s="302">
        <f>IF(E18&gt;0,G18/E18*100,"")</f>
        <v>6.0606060606060597</v>
      </c>
      <c r="L18" s="428" t="s">
        <v>2</v>
      </c>
      <c r="M18" s="420"/>
      <c r="N18" s="487"/>
      <c r="O18" s="434"/>
      <c r="P18" s="434"/>
      <c r="Q18" s="434"/>
      <c r="R18" s="438"/>
      <c r="S18" s="302">
        <f>IF(B18&lt;&gt;0,VLOOKUP(B18,GENERALITES!$B$21:$D$31,3,FALSE),"")</f>
        <v>1000</v>
      </c>
      <c r="T18" s="427" t="s">
        <v>0</v>
      </c>
      <c r="U18" s="438"/>
      <c r="V18" s="438"/>
      <c r="W18" s="438"/>
      <c r="X18" s="438"/>
      <c r="Y18" s="438"/>
      <c r="Z18" s="425"/>
      <c r="AA18" s="425"/>
      <c r="AB18" s="425"/>
      <c r="AC18" s="438"/>
      <c r="AD18" s="439"/>
      <c r="AE18" s="388"/>
      <c r="AF18" s="487"/>
      <c r="AG18" s="434"/>
      <c r="AH18" s="434"/>
      <c r="AI18" s="434"/>
      <c r="AJ18" s="438"/>
      <c r="AK18" s="302">
        <f>IF(B18&lt;&gt;0,VLOOKUP(B18,GENERALITES!$B$21:$N$31,12,FALSE),"")</f>
        <v>7.8599999999999994</v>
      </c>
      <c r="AL18" s="427" t="s">
        <v>20</v>
      </c>
      <c r="AM18" s="438"/>
      <c r="AN18" s="438"/>
      <c r="AO18" s="438"/>
      <c r="AP18" s="438"/>
      <c r="AQ18" s="438"/>
      <c r="AR18" s="425"/>
      <c r="AS18" s="425"/>
      <c r="AT18" s="425"/>
      <c r="AU18" s="438"/>
      <c r="AV18" s="439"/>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row>
    <row r="19" spans="1:136" outlineLevel="1" x14ac:dyDescent="0.25">
      <c r="A19" s="388"/>
      <c r="B19" s="435" t="s">
        <v>792</v>
      </c>
      <c r="C19" s="340">
        <v>0.11</v>
      </c>
      <c r="D19" s="427" t="s">
        <v>1</v>
      </c>
      <c r="E19" s="436">
        <v>0.11</v>
      </c>
      <c r="F19" s="427" t="s">
        <v>1</v>
      </c>
      <c r="G19" s="436">
        <v>5.0000000000000001E-4</v>
      </c>
      <c r="H19" s="427" t="s">
        <v>1</v>
      </c>
      <c r="I19" s="436">
        <v>5.0000000000000001E-4</v>
      </c>
      <c r="J19" s="427" t="s">
        <v>1</v>
      </c>
      <c r="K19" s="302">
        <f t="shared" ref="K19:K25" si="0">IF(E19&gt;0,G19/E19*100,"")</f>
        <v>0.45454545454545453</v>
      </c>
      <c r="L19" s="428" t="s">
        <v>2</v>
      </c>
      <c r="M19" s="420"/>
      <c r="N19" s="487"/>
      <c r="O19" s="434"/>
      <c r="P19" s="434"/>
      <c r="Q19" s="434"/>
      <c r="R19" s="438"/>
      <c r="S19" s="302">
        <f>IF(B19&lt;&gt;0,VLOOKUP(B19,GENERALITES!$B$21:$D$31,3,FALSE),"")</f>
        <v>200000</v>
      </c>
      <c r="T19" s="427" t="s">
        <v>0</v>
      </c>
      <c r="U19" s="438"/>
      <c r="V19" s="438"/>
      <c r="W19" s="438"/>
      <c r="X19" s="438"/>
      <c r="Y19" s="438"/>
      <c r="Z19" s="425"/>
      <c r="AA19" s="425"/>
      <c r="AB19" s="425"/>
      <c r="AC19" s="438"/>
      <c r="AD19" s="439"/>
      <c r="AE19" s="388"/>
      <c r="AF19" s="487"/>
      <c r="AG19" s="434"/>
      <c r="AH19" s="434"/>
      <c r="AI19" s="434"/>
      <c r="AJ19" s="438"/>
      <c r="AK19" s="302">
        <f>IF(B19&lt;&gt;0,VLOOKUP(B19,GENERALITES!$B$21:$N$31,12,FALSE),"")</f>
        <v>2.4339999999999997</v>
      </c>
      <c r="AL19" s="427" t="s">
        <v>20</v>
      </c>
      <c r="AM19" s="438"/>
      <c r="AN19" s="438"/>
      <c r="AO19" s="438"/>
      <c r="AP19" s="438"/>
      <c r="AQ19" s="438"/>
      <c r="AR19" s="425"/>
      <c r="AS19" s="425"/>
      <c r="AT19" s="425"/>
      <c r="AU19" s="438"/>
      <c r="AV19" s="439"/>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row>
    <row r="20" spans="1:136" outlineLevel="1" x14ac:dyDescent="0.25">
      <c r="A20" s="440"/>
      <c r="B20" s="435" t="s">
        <v>793</v>
      </c>
      <c r="C20" s="340">
        <v>0.5</v>
      </c>
      <c r="D20" s="427" t="s">
        <v>1</v>
      </c>
      <c r="E20" s="436">
        <v>0.5</v>
      </c>
      <c r="F20" s="427" t="s">
        <v>1</v>
      </c>
      <c r="G20" s="436">
        <v>0.26</v>
      </c>
      <c r="H20" s="427" t="s">
        <v>1</v>
      </c>
      <c r="I20" s="436">
        <v>0.26</v>
      </c>
      <c r="J20" s="427" t="s">
        <v>1</v>
      </c>
      <c r="K20" s="302">
        <f t="shared" si="0"/>
        <v>52</v>
      </c>
      <c r="L20" s="428" t="s">
        <v>2</v>
      </c>
      <c r="M20" s="420"/>
      <c r="N20" s="487"/>
      <c r="O20" s="434"/>
      <c r="P20" s="434"/>
      <c r="Q20" s="434"/>
      <c r="R20" s="438"/>
      <c r="S20" s="302">
        <f>IF(B20&lt;&gt;0,VLOOKUP(B20,GENERALITES!$B$21:$D$31,3,FALSE),"")</f>
        <v>1050</v>
      </c>
      <c r="T20" s="427" t="s">
        <v>0</v>
      </c>
      <c r="U20" s="438"/>
      <c r="V20" s="438"/>
      <c r="W20" s="438"/>
      <c r="X20" s="438"/>
      <c r="Y20" s="438"/>
      <c r="Z20" s="425"/>
      <c r="AA20" s="425"/>
      <c r="AB20" s="425"/>
      <c r="AC20" s="438"/>
      <c r="AD20" s="439"/>
      <c r="AE20" s="388"/>
      <c r="AF20" s="487"/>
      <c r="AG20" s="434"/>
      <c r="AH20" s="434"/>
      <c r="AI20" s="434"/>
      <c r="AJ20" s="438"/>
      <c r="AK20" s="302">
        <f>IF(B20&lt;&gt;0,VLOOKUP(B20,GENERALITES!$B$21:$N$31,12,FALSE),"")</f>
        <v>21.8</v>
      </c>
      <c r="AL20" s="427" t="s">
        <v>20</v>
      </c>
      <c r="AM20" s="438"/>
      <c r="AN20" s="438"/>
      <c r="AO20" s="438"/>
      <c r="AP20" s="438"/>
      <c r="AQ20" s="438"/>
      <c r="AR20" s="425"/>
      <c r="AS20" s="425"/>
      <c r="AT20" s="425"/>
      <c r="AU20" s="438"/>
      <c r="AV20" s="439"/>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row>
    <row r="21" spans="1:136" outlineLevel="1" x14ac:dyDescent="0.25">
      <c r="A21" s="440"/>
      <c r="B21" s="435"/>
      <c r="C21" s="340"/>
      <c r="D21" s="427" t="s">
        <v>1</v>
      </c>
      <c r="E21" s="436"/>
      <c r="F21" s="427" t="s">
        <v>1</v>
      </c>
      <c r="G21" s="436"/>
      <c r="H21" s="427" t="s">
        <v>1</v>
      </c>
      <c r="I21" s="436"/>
      <c r="J21" s="427" t="s">
        <v>1</v>
      </c>
      <c r="K21" s="302" t="str">
        <f t="shared" si="0"/>
        <v/>
      </c>
      <c r="L21" s="428" t="s">
        <v>2</v>
      </c>
      <c r="M21" s="420"/>
      <c r="N21" s="487"/>
      <c r="O21" s="434"/>
      <c r="P21" s="434"/>
      <c r="Q21" s="434"/>
      <c r="R21" s="438"/>
      <c r="S21" s="302" t="str">
        <f>IF(B21&lt;&gt;0,VLOOKUP(B21,GENERALITES!$B$21:$D$31,3,FALSE),"")</f>
        <v/>
      </c>
      <c r="T21" s="427" t="s">
        <v>0</v>
      </c>
      <c r="U21" s="438"/>
      <c r="V21" s="438"/>
      <c r="W21" s="438"/>
      <c r="X21" s="438"/>
      <c r="Y21" s="438"/>
      <c r="Z21" s="425"/>
      <c r="AA21" s="425"/>
      <c r="AB21" s="425"/>
      <c r="AC21" s="438"/>
      <c r="AD21" s="439"/>
      <c r="AE21" s="388"/>
      <c r="AF21" s="487"/>
      <c r="AG21" s="434"/>
      <c r="AH21" s="434"/>
      <c r="AI21" s="434"/>
      <c r="AJ21" s="438"/>
      <c r="AK21" s="302" t="str">
        <f>IF(B21&lt;&gt;0,VLOOKUP(B21,GENERALITES!$B$21:$N$31,12,FALSE),"")</f>
        <v/>
      </c>
      <c r="AL21" s="427" t="s">
        <v>20</v>
      </c>
      <c r="AM21" s="438"/>
      <c r="AN21" s="438"/>
      <c r="AO21" s="438"/>
      <c r="AP21" s="438"/>
      <c r="AQ21" s="438"/>
      <c r="AR21" s="425"/>
      <c r="AS21" s="425"/>
      <c r="AT21" s="425"/>
      <c r="AU21" s="438"/>
      <c r="AV21" s="439"/>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row>
    <row r="22" spans="1:136" outlineLevel="1" x14ac:dyDescent="0.25">
      <c r="A22" s="440"/>
      <c r="B22" s="435"/>
      <c r="C22" s="340"/>
      <c r="D22" s="427" t="s">
        <v>1</v>
      </c>
      <c r="E22" s="436"/>
      <c r="F22" s="427" t="s">
        <v>1</v>
      </c>
      <c r="G22" s="436"/>
      <c r="H22" s="427" t="s">
        <v>1</v>
      </c>
      <c r="I22" s="436"/>
      <c r="J22" s="427" t="s">
        <v>1</v>
      </c>
      <c r="K22" s="302" t="str">
        <f t="shared" si="0"/>
        <v/>
      </c>
      <c r="L22" s="428" t="s">
        <v>2</v>
      </c>
      <c r="M22" s="420"/>
      <c r="N22" s="487"/>
      <c r="O22" s="434"/>
      <c r="P22" s="434"/>
      <c r="Q22" s="434"/>
      <c r="R22" s="438"/>
      <c r="S22" s="302" t="str">
        <f>IF(B22&lt;&gt;0,VLOOKUP(B22,GENERALITES!$B$21:$D$31,3,FALSE),"")</f>
        <v/>
      </c>
      <c r="T22" s="427" t="s">
        <v>0</v>
      </c>
      <c r="U22" s="438"/>
      <c r="V22" s="438"/>
      <c r="W22" s="438"/>
      <c r="X22" s="438"/>
      <c r="Y22" s="438"/>
      <c r="Z22" s="425"/>
      <c r="AA22" s="425"/>
      <c r="AB22" s="425"/>
      <c r="AC22" s="438"/>
      <c r="AD22" s="439"/>
      <c r="AE22" s="388"/>
      <c r="AF22" s="487"/>
      <c r="AG22" s="434"/>
      <c r="AH22" s="434"/>
      <c r="AI22" s="434"/>
      <c r="AJ22" s="438"/>
      <c r="AK22" s="302" t="str">
        <f>IF(B22&lt;&gt;0,VLOOKUP(B22,GENERALITES!$B$21:$N$31,12,FALSE),"")</f>
        <v/>
      </c>
      <c r="AL22" s="427" t="s">
        <v>20</v>
      </c>
      <c r="AM22" s="438"/>
      <c r="AN22" s="438"/>
      <c r="AO22" s="438"/>
      <c r="AP22" s="438"/>
      <c r="AQ22" s="438"/>
      <c r="AR22" s="425"/>
      <c r="AS22" s="425"/>
      <c r="AT22" s="425"/>
      <c r="AU22" s="438"/>
      <c r="AV22" s="439"/>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row>
    <row r="23" spans="1:136" outlineLevel="1" x14ac:dyDescent="0.25">
      <c r="A23" s="440"/>
      <c r="B23" s="435"/>
      <c r="C23" s="340"/>
      <c r="D23" s="427" t="s">
        <v>1</v>
      </c>
      <c r="E23" s="436"/>
      <c r="F23" s="427" t="s">
        <v>1</v>
      </c>
      <c r="G23" s="436"/>
      <c r="H23" s="427" t="s">
        <v>1</v>
      </c>
      <c r="I23" s="436"/>
      <c r="J23" s="427" t="s">
        <v>1</v>
      </c>
      <c r="K23" s="302" t="str">
        <f t="shared" si="0"/>
        <v/>
      </c>
      <c r="L23" s="428" t="s">
        <v>2</v>
      </c>
      <c r="M23" s="420"/>
      <c r="N23" s="487"/>
      <c r="O23" s="434"/>
      <c r="P23" s="434"/>
      <c r="Q23" s="434"/>
      <c r="R23" s="438"/>
      <c r="S23" s="302" t="str">
        <f>IF(B23&lt;&gt;0,VLOOKUP(B23,GENERALITES!$B$21:$D$31,3,FALSE),"")</f>
        <v/>
      </c>
      <c r="T23" s="427" t="s">
        <v>0</v>
      </c>
      <c r="U23" s="438"/>
      <c r="V23" s="438"/>
      <c r="W23" s="438"/>
      <c r="X23" s="438"/>
      <c r="Y23" s="438"/>
      <c r="Z23" s="425"/>
      <c r="AA23" s="425"/>
      <c r="AB23" s="425"/>
      <c r="AC23" s="438"/>
      <c r="AD23" s="439"/>
      <c r="AE23" s="388"/>
      <c r="AF23" s="487"/>
      <c r="AG23" s="434"/>
      <c r="AH23" s="434"/>
      <c r="AI23" s="434"/>
      <c r="AJ23" s="438"/>
      <c r="AK23" s="302" t="str">
        <f>IF(B23&lt;&gt;0,VLOOKUP(B23,GENERALITES!$B$21:$N$31,12,FALSE),"")</f>
        <v/>
      </c>
      <c r="AL23" s="427" t="s">
        <v>20</v>
      </c>
      <c r="AM23" s="438"/>
      <c r="AN23" s="438"/>
      <c r="AO23" s="438"/>
      <c r="AP23" s="438"/>
      <c r="AQ23" s="438"/>
      <c r="AR23" s="425"/>
      <c r="AS23" s="425"/>
      <c r="AT23" s="425"/>
      <c r="AU23" s="438"/>
      <c r="AV23" s="439"/>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row>
    <row r="24" spans="1:136" outlineLevel="1" x14ac:dyDescent="0.25">
      <c r="A24" s="440"/>
      <c r="B24" s="435"/>
      <c r="C24" s="340"/>
      <c r="D24" s="427" t="s">
        <v>1</v>
      </c>
      <c r="E24" s="436"/>
      <c r="F24" s="427" t="s">
        <v>1</v>
      </c>
      <c r="G24" s="436"/>
      <c r="H24" s="427" t="s">
        <v>1</v>
      </c>
      <c r="I24" s="436"/>
      <c r="J24" s="427" t="s">
        <v>1</v>
      </c>
      <c r="K24" s="302" t="str">
        <f t="shared" si="0"/>
        <v/>
      </c>
      <c r="L24" s="428" t="s">
        <v>2</v>
      </c>
      <c r="M24" s="420"/>
      <c r="N24" s="487"/>
      <c r="O24" s="434"/>
      <c r="P24" s="434"/>
      <c r="Q24" s="434"/>
      <c r="R24" s="438"/>
      <c r="S24" s="302" t="str">
        <f>IF(B24&lt;&gt;0,VLOOKUP(B24,GENERALITES!$B$21:$D$31,3,FALSE),"")</f>
        <v/>
      </c>
      <c r="T24" s="427" t="s">
        <v>0</v>
      </c>
      <c r="U24" s="438"/>
      <c r="V24" s="438"/>
      <c r="W24" s="438"/>
      <c r="X24" s="438"/>
      <c r="Y24" s="438"/>
      <c r="Z24" s="425"/>
      <c r="AA24" s="425"/>
      <c r="AB24" s="425"/>
      <c r="AC24" s="438"/>
      <c r="AD24" s="439"/>
      <c r="AE24" s="388"/>
      <c r="AF24" s="487"/>
      <c r="AG24" s="434"/>
      <c r="AH24" s="434"/>
      <c r="AI24" s="434"/>
      <c r="AJ24" s="438"/>
      <c r="AK24" s="302" t="str">
        <f>IF(B24&lt;&gt;0,VLOOKUP(B24,GENERALITES!$B$21:$N$31,12,FALSE),"")</f>
        <v/>
      </c>
      <c r="AL24" s="427" t="s">
        <v>20</v>
      </c>
      <c r="AM24" s="438"/>
      <c r="AN24" s="438"/>
      <c r="AO24" s="438"/>
      <c r="AP24" s="438"/>
      <c r="AQ24" s="438"/>
      <c r="AR24" s="425"/>
      <c r="AS24" s="425"/>
      <c r="AT24" s="425"/>
      <c r="AU24" s="438"/>
      <c r="AV24" s="439"/>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row>
    <row r="25" spans="1:136" outlineLevel="1" x14ac:dyDescent="0.25">
      <c r="A25" s="440"/>
      <c r="B25" s="435"/>
      <c r="C25" s="340"/>
      <c r="D25" s="427" t="s">
        <v>1</v>
      </c>
      <c r="E25" s="436"/>
      <c r="F25" s="427" t="s">
        <v>1</v>
      </c>
      <c r="G25" s="436"/>
      <c r="H25" s="427" t="s">
        <v>1</v>
      </c>
      <c r="I25" s="436"/>
      <c r="J25" s="427" t="s">
        <v>1</v>
      </c>
      <c r="K25" s="302" t="str">
        <f t="shared" si="0"/>
        <v/>
      </c>
      <c r="L25" s="428" t="s">
        <v>2</v>
      </c>
      <c r="M25" s="420"/>
      <c r="N25" s="487"/>
      <c r="O25" s="434"/>
      <c r="P25" s="434"/>
      <c r="Q25" s="434"/>
      <c r="R25" s="438"/>
      <c r="S25" s="302" t="str">
        <f>IF(B25&lt;&gt;0,VLOOKUP(B25,GENERALITES!$B$21:$D$31,3,FALSE),"")</f>
        <v/>
      </c>
      <c r="T25" s="427" t="s">
        <v>0</v>
      </c>
      <c r="U25" s="438"/>
      <c r="V25" s="438"/>
      <c r="W25" s="438"/>
      <c r="X25" s="438"/>
      <c r="Y25" s="438"/>
      <c r="Z25" s="425"/>
      <c r="AA25" s="425"/>
      <c r="AB25" s="425"/>
      <c r="AC25" s="438"/>
      <c r="AD25" s="439"/>
      <c r="AE25" s="388"/>
      <c r="AF25" s="487"/>
      <c r="AG25" s="434"/>
      <c r="AH25" s="434"/>
      <c r="AI25" s="434"/>
      <c r="AJ25" s="420"/>
      <c r="AK25" s="302" t="str">
        <f>IF(B25&lt;&gt;0,VLOOKUP(B25,GENERALITES!$B$21:$N$31,12,FALSE),"")</f>
        <v/>
      </c>
      <c r="AL25" s="427" t="s">
        <v>20</v>
      </c>
      <c r="AM25" s="420"/>
      <c r="AN25" s="420"/>
      <c r="AO25" s="420"/>
      <c r="AP25" s="420"/>
      <c r="AQ25" s="420"/>
      <c r="AR25" s="425"/>
      <c r="AS25" s="425"/>
      <c r="AT25" s="425"/>
      <c r="AU25" s="420"/>
      <c r="AV25" s="432"/>
      <c r="AW25" s="388"/>
      <c r="AX25" s="342"/>
      <c r="AY25" s="342"/>
      <c r="BD25" s="342"/>
      <c r="BE25" s="342"/>
      <c r="BF25" s="342"/>
      <c r="BG25" s="342"/>
      <c r="BH25" s="342"/>
      <c r="BI25" s="342"/>
      <c r="BJ25" s="342"/>
      <c r="BK25" s="342"/>
      <c r="BL25" s="342"/>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row>
    <row r="26" spans="1:136" ht="15.75" thickBot="1" x14ac:dyDescent="0.3">
      <c r="A26" s="440"/>
      <c r="B26" s="477"/>
      <c r="C26" s="478"/>
      <c r="D26" s="478"/>
      <c r="E26" s="478"/>
      <c r="F26" s="478"/>
      <c r="G26" s="478"/>
      <c r="H26" s="478"/>
      <c r="I26" s="478"/>
      <c r="J26" s="478"/>
      <c r="K26" s="478"/>
      <c r="L26" s="479"/>
      <c r="M26" s="440"/>
      <c r="N26" s="477"/>
      <c r="O26" s="478"/>
      <c r="P26" s="478"/>
      <c r="Q26" s="478"/>
      <c r="R26" s="478"/>
      <c r="S26" s="478"/>
      <c r="T26" s="478"/>
      <c r="U26" s="478"/>
      <c r="V26" s="478"/>
      <c r="W26" s="478"/>
      <c r="X26" s="478"/>
      <c r="Y26" s="478"/>
      <c r="Z26" s="478"/>
      <c r="AA26" s="478"/>
      <c r="AB26" s="478"/>
      <c r="AC26" s="478"/>
      <c r="AD26" s="479"/>
      <c r="AE26" s="440"/>
      <c r="AF26" s="444"/>
      <c r="AG26" s="445"/>
      <c r="AH26" s="445"/>
      <c r="AI26" s="445"/>
      <c r="AJ26" s="445"/>
      <c r="AK26" s="445"/>
      <c r="AL26" s="445"/>
      <c r="AM26" s="445"/>
      <c r="AN26" s="445"/>
      <c r="AO26" s="445"/>
      <c r="AP26" s="445"/>
      <c r="AQ26" s="445"/>
      <c r="AR26" s="445"/>
      <c r="AS26" s="445"/>
      <c r="AT26" s="445"/>
      <c r="AU26" s="445"/>
      <c r="AV26" s="446"/>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row>
    <row r="27" spans="1:136" ht="30" customHeight="1" thickBot="1" x14ac:dyDescent="0.3">
      <c r="A27" s="388"/>
      <c r="B27" s="499" t="s">
        <v>63</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1"/>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row>
    <row r="28" spans="1:136" outlineLevel="1" x14ac:dyDescent="0.25">
      <c r="B28" s="412"/>
      <c r="C28" s="413"/>
      <c r="D28" s="413"/>
      <c r="E28" s="413"/>
      <c r="F28" s="413"/>
      <c r="G28" s="413"/>
      <c r="H28" s="413"/>
      <c r="I28" s="413"/>
      <c r="J28" s="413"/>
      <c r="K28" s="413"/>
      <c r="L28" s="414"/>
      <c r="N28" s="412"/>
      <c r="O28" s="413"/>
      <c r="P28" s="413"/>
      <c r="Q28" s="413"/>
      <c r="R28" s="413"/>
      <c r="S28" s="413"/>
      <c r="T28" s="413"/>
      <c r="U28" s="413"/>
      <c r="V28" s="413"/>
      <c r="W28" s="413"/>
      <c r="X28" s="413"/>
      <c r="Y28" s="413"/>
      <c r="Z28" s="413"/>
      <c r="AA28" s="413"/>
      <c r="AB28" s="413"/>
      <c r="AC28" s="413"/>
      <c r="AD28" s="414"/>
      <c r="AF28" s="412"/>
      <c r="AG28" s="413"/>
      <c r="AH28" s="413"/>
      <c r="AI28" s="413"/>
      <c r="AJ28" s="413"/>
      <c r="AK28" s="413"/>
      <c r="AL28" s="413"/>
      <c r="AM28" s="413"/>
      <c r="AN28" s="413"/>
      <c r="AO28" s="413"/>
      <c r="AP28" s="413"/>
      <c r="AQ28" s="413"/>
      <c r="AR28" s="413"/>
      <c r="AS28" s="413"/>
      <c r="AT28" s="413"/>
      <c r="AU28" s="413"/>
      <c r="AV28" s="414"/>
      <c r="AW28" s="388"/>
      <c r="AX28" s="388"/>
      <c r="AY28" s="388"/>
      <c r="AZ28" s="388"/>
      <c r="BA28" s="388"/>
      <c r="BB28" s="388"/>
      <c r="BC28" s="388"/>
      <c r="BD28" s="342"/>
      <c r="BE28" s="342"/>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row>
    <row r="29" spans="1:136"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289"/>
      <c r="W29" s="289"/>
      <c r="X29" s="289"/>
      <c r="Y29" s="289"/>
      <c r="Z29" s="289"/>
      <c r="AA29" s="289"/>
      <c r="AB29" s="289"/>
      <c r="AC29" s="289"/>
      <c r="AD29" s="419"/>
      <c r="AE29" s="420"/>
      <c r="AF29" s="418" t="s">
        <v>54</v>
      </c>
      <c r="AG29" s="289"/>
      <c r="AH29" s="289"/>
      <c r="AI29" s="289"/>
      <c r="AJ29" s="289"/>
      <c r="AK29" s="289"/>
      <c r="AL29" s="289"/>
      <c r="AM29" s="289"/>
      <c r="AN29" s="289"/>
      <c r="AO29" s="289"/>
      <c r="AP29" s="289"/>
      <c r="AQ29" s="289"/>
      <c r="AR29" s="289"/>
      <c r="AS29" s="289"/>
      <c r="AT29" s="289"/>
      <c r="AU29" s="289"/>
      <c r="AV29" s="419"/>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row>
    <row r="30" spans="1:136" ht="43.5" customHeight="1" outlineLevel="1" x14ac:dyDescent="0.25">
      <c r="A30" s="388"/>
      <c r="B30" s="421" t="s">
        <v>299</v>
      </c>
      <c r="C30" s="425"/>
      <c r="D30" s="425"/>
      <c r="E30" s="425"/>
      <c r="F30" s="425"/>
      <c r="G30" s="422" t="s">
        <v>300</v>
      </c>
      <c r="H30" s="270"/>
      <c r="I30" s="422" t="s">
        <v>301</v>
      </c>
      <c r="J30" s="447"/>
      <c r="K30" s="447"/>
      <c r="L30" s="401"/>
      <c r="M30" s="342"/>
      <c r="N30" s="269" t="s">
        <v>77</v>
      </c>
      <c r="O30" s="270"/>
      <c r="P30" s="422" t="s">
        <v>302</v>
      </c>
      <c r="Q30" s="270"/>
      <c r="R30" s="425"/>
      <c r="S30" s="422" t="s">
        <v>80</v>
      </c>
      <c r="T30" s="270"/>
      <c r="U30" s="422" t="s">
        <v>81</v>
      </c>
      <c r="V30" s="270"/>
      <c r="W30" s="425"/>
      <c r="X30" s="422" t="s">
        <v>303</v>
      </c>
      <c r="Y30" s="270"/>
      <c r="Z30" s="422" t="s">
        <v>304</v>
      </c>
      <c r="AA30" s="270"/>
      <c r="AB30" s="425"/>
      <c r="AC30" s="422" t="s">
        <v>305</v>
      </c>
      <c r="AD30" s="401"/>
      <c r="AE30" s="420"/>
      <c r="AF30" s="269" t="s">
        <v>54</v>
      </c>
      <c r="AG30" s="270"/>
      <c r="AH30" s="422" t="s">
        <v>306</v>
      </c>
      <c r="AI30" s="270"/>
      <c r="AJ30" s="425"/>
      <c r="AK30" s="422" t="s">
        <v>89</v>
      </c>
      <c r="AL30" s="270"/>
      <c r="AM30" s="422" t="s">
        <v>76</v>
      </c>
      <c r="AN30" s="270"/>
      <c r="AO30" s="425"/>
      <c r="AP30" s="422" t="s">
        <v>307</v>
      </c>
      <c r="AQ30" s="270"/>
      <c r="AR30" s="422" t="s">
        <v>308</v>
      </c>
      <c r="AS30" s="270"/>
      <c r="AT30" s="425"/>
      <c r="AU30" s="422" t="s">
        <v>309</v>
      </c>
      <c r="AV30" s="401"/>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row>
    <row r="31" spans="1:136" outlineLevel="1" x14ac:dyDescent="0.25">
      <c r="B31" s="426"/>
      <c r="C31" s="425"/>
      <c r="D31" s="425"/>
      <c r="E31" s="425"/>
      <c r="F31" s="425"/>
      <c r="G31" s="302">
        <f>SUM(G33:G38)</f>
        <v>0.10010000000000001</v>
      </c>
      <c r="H31" s="427" t="s">
        <v>1</v>
      </c>
      <c r="I31" s="507"/>
      <c r="J31" s="449" t="s">
        <v>2</v>
      </c>
      <c r="K31" s="302">
        <f>SUM(K33:K38)</f>
        <v>0</v>
      </c>
      <c r="L31" s="428" t="s">
        <v>1</v>
      </c>
      <c r="M31" s="342"/>
      <c r="N31" s="450"/>
      <c r="O31" s="427" t="s">
        <v>0</v>
      </c>
      <c r="P31" s="302">
        <f>SUMPRODUCT('ETAPE 4'!G33:G38,'ETAPE 4'!N33:N38)</f>
        <v>201.4</v>
      </c>
      <c r="Q31" s="427" t="s">
        <v>6</v>
      </c>
      <c r="R31" s="425"/>
      <c r="S31" s="302">
        <f>'ETAPE 3'!Z31</f>
        <v>335.17936532270426</v>
      </c>
      <c r="T31" s="427" t="s">
        <v>72</v>
      </c>
      <c r="U31" s="302">
        <f>S31*$B$10</f>
        <v>1863.5972711942359</v>
      </c>
      <c r="V31" s="427" t="s">
        <v>6</v>
      </c>
      <c r="W31" s="425"/>
      <c r="X31" s="302">
        <f>P31+U31</f>
        <v>2064.997271194236</v>
      </c>
      <c r="Y31" s="427" t="s">
        <v>6</v>
      </c>
      <c r="Z31" s="302">
        <f>IF($E$10&lt;&gt;0,X31/$E$10,0)</f>
        <v>371.40238690543811</v>
      </c>
      <c r="AA31" s="427" t="s">
        <v>72</v>
      </c>
      <c r="AB31" s="425"/>
      <c r="AC31" s="302">
        <f>$N$10/100*U31+SUMPRODUCT(K33:K38,N33:N38)</f>
        <v>187.86803426337573</v>
      </c>
      <c r="AD31" s="428" t="s">
        <v>6</v>
      </c>
      <c r="AE31" s="388"/>
      <c r="AF31" s="450"/>
      <c r="AG31" s="427" t="s">
        <v>20</v>
      </c>
      <c r="AH31" s="302">
        <f>SUMPRODUCT(G33:G38,AF33:AF38)</f>
        <v>0.23817000000000005</v>
      </c>
      <c r="AI31" s="427" t="s">
        <v>21</v>
      </c>
      <c r="AJ31" s="425"/>
      <c r="AK31" s="302">
        <f>'ETAPE 3'!AR31</f>
        <v>0.268929173693086</v>
      </c>
      <c r="AL31" s="427" t="s">
        <v>73</v>
      </c>
      <c r="AM31" s="448">
        <f>AK31*$B$10</f>
        <v>1.4952462057335583</v>
      </c>
      <c r="AN31" s="427" t="s">
        <v>21</v>
      </c>
      <c r="AO31" s="425"/>
      <c r="AP31" s="302">
        <f>AH31+AM31</f>
        <v>1.7334162057335583</v>
      </c>
      <c r="AQ31" s="427" t="s">
        <v>21</v>
      </c>
      <c r="AR31" s="302">
        <f>IF($E$10&lt;&gt;0,AP31/$E$10,0)</f>
        <v>0.3117655046283378</v>
      </c>
      <c r="AS31" s="427" t="s">
        <v>73</v>
      </c>
      <c r="AT31" s="425"/>
      <c r="AU31" s="302">
        <f>$N$10/100*AM31+SUMPRODUCT(K33:K38,AF33:AF38)</f>
        <v>0.1507348018549747</v>
      </c>
      <c r="AV31" s="428" t="s">
        <v>21</v>
      </c>
      <c r="AW31" s="388"/>
      <c r="AX31" s="342"/>
      <c r="AY31" s="342"/>
      <c r="AZ31" s="342"/>
      <c r="BA31" s="342"/>
      <c r="BB31" s="342"/>
      <c r="BC31" s="342"/>
      <c r="BD31" s="342"/>
      <c r="BE31" s="342"/>
      <c r="BF31" s="342"/>
      <c r="BG31" s="342"/>
      <c r="BH31" s="342"/>
      <c r="BI31" s="342"/>
      <c r="BJ31" s="342"/>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row>
    <row r="32" spans="1:136" ht="6.75" customHeight="1" outlineLevel="1" x14ac:dyDescent="0.25">
      <c r="A32" s="388"/>
      <c r="B32" s="431"/>
      <c r="C32" s="420"/>
      <c r="D32" s="420"/>
      <c r="E32" s="420"/>
      <c r="F32" s="420"/>
      <c r="G32" s="420"/>
      <c r="H32" s="420"/>
      <c r="I32" s="434"/>
      <c r="J32" s="434"/>
      <c r="K32" s="434"/>
      <c r="L32" s="451"/>
      <c r="M32" s="342"/>
      <c r="N32" s="431"/>
      <c r="O32" s="420"/>
      <c r="P32" s="420"/>
      <c r="Q32" s="420"/>
      <c r="R32" s="420"/>
      <c r="S32" s="420"/>
      <c r="T32" s="420"/>
      <c r="U32" s="420"/>
      <c r="V32" s="420"/>
      <c r="W32" s="420"/>
      <c r="X32" s="420"/>
      <c r="Y32" s="420"/>
      <c r="Z32" s="433"/>
      <c r="AA32" s="433"/>
      <c r="AB32" s="433"/>
      <c r="AC32" s="420"/>
      <c r="AD32" s="432"/>
      <c r="AE32" s="388"/>
      <c r="AF32" s="431"/>
      <c r="AG32" s="420"/>
      <c r="AH32" s="420"/>
      <c r="AI32" s="420"/>
      <c r="AJ32" s="420"/>
      <c r="AK32" s="420"/>
      <c r="AL32" s="420"/>
      <c r="AM32" s="420"/>
      <c r="AN32" s="420"/>
      <c r="AO32" s="420"/>
      <c r="AP32" s="420"/>
      <c r="AQ32" s="420"/>
      <c r="AR32" s="420"/>
      <c r="AS32" s="420"/>
      <c r="AT32" s="420"/>
      <c r="AU32" s="420"/>
      <c r="AV32" s="43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row>
    <row r="33" spans="1:136" outlineLevel="1" x14ac:dyDescent="0.25">
      <c r="B33" s="435" t="s">
        <v>796</v>
      </c>
      <c r="C33" s="425"/>
      <c r="D33" s="425"/>
      <c r="E33" s="425"/>
      <c r="F33" s="425"/>
      <c r="G33" s="436">
        <v>0.1</v>
      </c>
      <c r="H33" s="427" t="s">
        <v>1</v>
      </c>
      <c r="I33" s="452"/>
      <c r="J33" s="449" t="s">
        <v>2</v>
      </c>
      <c r="K33" s="302">
        <f>G33*I33/100</f>
        <v>0</v>
      </c>
      <c r="L33" s="428" t="s">
        <v>1</v>
      </c>
      <c r="M33" s="342"/>
      <c r="N33" s="437">
        <f>IF(B33&lt;&gt;0,VLOOKUP(B33,GENERALITES!$B$36:$D$41,3,FALSE),"")</f>
        <v>2000</v>
      </c>
      <c r="O33" s="427" t="s">
        <v>0</v>
      </c>
      <c r="P33" s="438"/>
      <c r="Q33" s="438"/>
      <c r="R33" s="438"/>
      <c r="S33" s="438"/>
      <c r="T33" s="438"/>
      <c r="U33" s="438"/>
      <c r="V33" s="438"/>
      <c r="W33" s="438"/>
      <c r="X33" s="438"/>
      <c r="Y33" s="438"/>
      <c r="Z33" s="425"/>
      <c r="AA33" s="425"/>
      <c r="AB33" s="425"/>
      <c r="AC33" s="438"/>
      <c r="AD33" s="439"/>
      <c r="AE33" s="388"/>
      <c r="AF33" s="437">
        <f>IF(B33&lt;&gt;0,VLOOKUP(B33,GENERALITES!$B$36:$N$41,12,FALSE),"")</f>
        <v>2.3730000000000002</v>
      </c>
      <c r="AG33" s="427" t="s">
        <v>20</v>
      </c>
      <c r="AH33" s="438"/>
      <c r="AI33" s="438"/>
      <c r="AJ33" s="438"/>
      <c r="AK33" s="438"/>
      <c r="AL33" s="438"/>
      <c r="AM33" s="438"/>
      <c r="AN33" s="438"/>
      <c r="AO33" s="438"/>
      <c r="AP33" s="438"/>
      <c r="AQ33" s="438"/>
      <c r="AR33" s="425"/>
      <c r="AS33" s="425"/>
      <c r="AT33" s="425"/>
      <c r="AU33" s="438"/>
      <c r="AV33" s="439"/>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row>
    <row r="34" spans="1:136" outlineLevel="1" x14ac:dyDescent="0.25">
      <c r="B34" s="435" t="s">
        <v>797</v>
      </c>
      <c r="C34" s="425"/>
      <c r="D34" s="425"/>
      <c r="E34" s="425"/>
      <c r="F34" s="425"/>
      <c r="G34" s="436">
        <v>1E-4</v>
      </c>
      <c r="H34" s="427" t="s">
        <v>1</v>
      </c>
      <c r="I34" s="452"/>
      <c r="J34" s="449" t="s">
        <v>2</v>
      </c>
      <c r="K34" s="302">
        <f>G34*I34/100</f>
        <v>0</v>
      </c>
      <c r="L34" s="428" t="s">
        <v>1</v>
      </c>
      <c r="M34" s="342"/>
      <c r="N34" s="437">
        <f>IF(B34&lt;&gt;0,VLOOKUP(B34,GENERALITES!$B$36:$D$41,3,FALSE),"")</f>
        <v>14000</v>
      </c>
      <c r="O34" s="427" t="s">
        <v>0</v>
      </c>
      <c r="P34" s="438"/>
      <c r="Q34" s="438"/>
      <c r="R34" s="438"/>
      <c r="S34" s="438"/>
      <c r="T34" s="438"/>
      <c r="U34" s="438"/>
      <c r="V34" s="438"/>
      <c r="W34" s="438"/>
      <c r="X34" s="438"/>
      <c r="Y34" s="438"/>
      <c r="Z34" s="425"/>
      <c r="AA34" s="425"/>
      <c r="AB34" s="425"/>
      <c r="AC34" s="438"/>
      <c r="AD34" s="439"/>
      <c r="AE34" s="388"/>
      <c r="AF34" s="437">
        <f>IF(B34&lt;&gt;0,VLOOKUP(B34,GENERALITES!$B$36:$N$41,12,FALSE),"")</f>
        <v>8.6999999999999993</v>
      </c>
      <c r="AG34" s="427" t="s">
        <v>20</v>
      </c>
      <c r="AH34" s="438"/>
      <c r="AI34" s="438"/>
      <c r="AJ34" s="438"/>
      <c r="AK34" s="438"/>
      <c r="AL34" s="438"/>
      <c r="AM34" s="438"/>
      <c r="AN34" s="438"/>
      <c r="AO34" s="438"/>
      <c r="AP34" s="438"/>
      <c r="AQ34" s="438"/>
      <c r="AR34" s="425"/>
      <c r="AS34" s="425"/>
      <c r="AT34" s="425"/>
      <c r="AU34" s="438"/>
      <c r="AV34" s="439"/>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row>
    <row r="35" spans="1:136" outlineLevel="1" x14ac:dyDescent="0.25">
      <c r="B35" s="435"/>
      <c r="C35" s="425"/>
      <c r="D35" s="425"/>
      <c r="E35" s="425"/>
      <c r="F35" s="425"/>
      <c r="G35" s="436"/>
      <c r="H35" s="427" t="s">
        <v>1</v>
      </c>
      <c r="I35" s="452"/>
      <c r="J35" s="449" t="s">
        <v>2</v>
      </c>
      <c r="K35" s="302">
        <f t="shared" ref="K35:K38" si="1">G35*I35/100</f>
        <v>0</v>
      </c>
      <c r="L35" s="428" t="s">
        <v>1</v>
      </c>
      <c r="M35" s="342"/>
      <c r="N35" s="437" t="str">
        <f>IF(B35&lt;&gt;0,VLOOKUP(B35,GENERALITES!$B$36:$D$41,3,FALSE),"")</f>
        <v/>
      </c>
      <c r="O35" s="427" t="s">
        <v>0</v>
      </c>
      <c r="P35" s="438"/>
      <c r="Q35" s="438"/>
      <c r="R35" s="438"/>
      <c r="S35" s="438"/>
      <c r="T35" s="438"/>
      <c r="U35" s="438"/>
      <c r="V35" s="438"/>
      <c r="W35" s="438"/>
      <c r="X35" s="438"/>
      <c r="Y35" s="438"/>
      <c r="Z35" s="425"/>
      <c r="AA35" s="425"/>
      <c r="AB35" s="425"/>
      <c r="AC35" s="438"/>
      <c r="AD35" s="439"/>
      <c r="AE35" s="388"/>
      <c r="AF35" s="437" t="str">
        <f>IF(B35&lt;&gt;0,VLOOKUP(B35,GENERALITES!$B$36:$N$41,12,FALSE),"")</f>
        <v/>
      </c>
      <c r="AG35" s="427" t="s">
        <v>20</v>
      </c>
      <c r="AH35" s="438"/>
      <c r="AI35" s="438"/>
      <c r="AJ35" s="438"/>
      <c r="AK35" s="438"/>
      <c r="AL35" s="438"/>
      <c r="AM35" s="438"/>
      <c r="AN35" s="438"/>
      <c r="AO35" s="438"/>
      <c r="AP35" s="438"/>
      <c r="AQ35" s="438"/>
      <c r="AR35" s="425"/>
      <c r="AS35" s="425"/>
      <c r="AT35" s="425"/>
      <c r="AU35" s="438"/>
      <c r="AV35" s="439"/>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row>
    <row r="36" spans="1:136"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38"/>
      <c r="S36" s="434"/>
      <c r="T36" s="438"/>
      <c r="U36" s="438"/>
      <c r="V36" s="438"/>
      <c r="W36" s="438"/>
      <c r="X36" s="438"/>
      <c r="Y36" s="438"/>
      <c r="Z36" s="425"/>
      <c r="AA36" s="425"/>
      <c r="AB36" s="425"/>
      <c r="AC36" s="438"/>
      <c r="AD36" s="439"/>
      <c r="AE36" s="388"/>
      <c r="AF36" s="437" t="str">
        <f>IF(B36&lt;&gt;0,VLOOKUP(B36,GENERALITES!$B$36:$N$41,12,FALSE),"")</f>
        <v/>
      </c>
      <c r="AG36" s="427" t="s">
        <v>20</v>
      </c>
      <c r="AH36" s="438"/>
      <c r="AI36" s="438"/>
      <c r="AJ36" s="438"/>
      <c r="AK36" s="438"/>
      <c r="AL36" s="438"/>
      <c r="AM36" s="438"/>
      <c r="AN36" s="438"/>
      <c r="AO36" s="438"/>
      <c r="AP36" s="438"/>
      <c r="AQ36" s="438"/>
      <c r="AR36" s="425"/>
      <c r="AS36" s="425"/>
      <c r="AT36" s="425"/>
      <c r="AU36" s="438"/>
      <c r="AV36" s="439"/>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row>
    <row r="37" spans="1:136"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38"/>
      <c r="S37" s="438"/>
      <c r="T37" s="438"/>
      <c r="U37" s="438"/>
      <c r="V37" s="438"/>
      <c r="W37" s="438"/>
      <c r="X37" s="438"/>
      <c r="Y37" s="438"/>
      <c r="Z37" s="425"/>
      <c r="AA37" s="425"/>
      <c r="AB37" s="425"/>
      <c r="AC37" s="438"/>
      <c r="AD37" s="439"/>
      <c r="AE37" s="388"/>
      <c r="AF37" s="437" t="str">
        <f>IF(B37&lt;&gt;0,VLOOKUP(B37,GENERALITES!$B$36:$N$41,12,FALSE),"")</f>
        <v/>
      </c>
      <c r="AG37" s="427" t="s">
        <v>20</v>
      </c>
      <c r="AH37" s="438"/>
      <c r="AI37" s="438"/>
      <c r="AJ37" s="438"/>
      <c r="AK37" s="438"/>
      <c r="AL37" s="438"/>
      <c r="AM37" s="438"/>
      <c r="AN37" s="438"/>
      <c r="AO37" s="438"/>
      <c r="AP37" s="438"/>
      <c r="AQ37" s="438"/>
      <c r="AR37" s="425"/>
      <c r="AS37" s="425"/>
      <c r="AT37" s="425"/>
      <c r="AU37" s="438"/>
      <c r="AV37" s="439"/>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row>
    <row r="38" spans="1:136"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38"/>
      <c r="S38" s="438"/>
      <c r="T38" s="438"/>
      <c r="U38" s="438"/>
      <c r="V38" s="438"/>
      <c r="W38" s="438"/>
      <c r="X38" s="438"/>
      <c r="Y38" s="438"/>
      <c r="Z38" s="425"/>
      <c r="AA38" s="425"/>
      <c r="AB38" s="425"/>
      <c r="AC38" s="438"/>
      <c r="AD38" s="439"/>
      <c r="AE38" s="388"/>
      <c r="AF38" s="437" t="str">
        <f>IF(B38&lt;&gt;0,VLOOKUP(B38,GENERALITES!$B$36:$N$41,12,FALSE),"")</f>
        <v/>
      </c>
      <c r="AG38" s="427" t="s">
        <v>20</v>
      </c>
      <c r="AH38" s="420"/>
      <c r="AI38" s="420"/>
      <c r="AJ38" s="420"/>
      <c r="AK38" s="420"/>
      <c r="AL38" s="420"/>
      <c r="AM38" s="420"/>
      <c r="AN38" s="420"/>
      <c r="AO38" s="420"/>
      <c r="AP38" s="420"/>
      <c r="AQ38" s="420"/>
      <c r="AR38" s="425"/>
      <c r="AS38" s="425"/>
      <c r="AT38" s="425"/>
      <c r="AU38" s="420"/>
      <c r="AV38" s="432"/>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row>
    <row r="39" spans="1:136" ht="15.75" thickBot="1" x14ac:dyDescent="0.3">
      <c r="A39" s="440"/>
      <c r="B39" s="477"/>
      <c r="C39" s="478"/>
      <c r="D39" s="478"/>
      <c r="E39" s="478"/>
      <c r="F39" s="478"/>
      <c r="G39" s="478"/>
      <c r="H39" s="478"/>
      <c r="I39" s="478"/>
      <c r="J39" s="478"/>
      <c r="K39" s="478"/>
      <c r="L39" s="479"/>
      <c r="M39" s="440"/>
      <c r="N39" s="477"/>
      <c r="O39" s="478"/>
      <c r="P39" s="478"/>
      <c r="Q39" s="478"/>
      <c r="R39" s="478"/>
      <c r="S39" s="478"/>
      <c r="T39" s="478"/>
      <c r="U39" s="478"/>
      <c r="V39" s="478"/>
      <c r="W39" s="478"/>
      <c r="X39" s="478"/>
      <c r="Y39" s="478"/>
      <c r="Z39" s="478"/>
      <c r="AA39" s="478"/>
      <c r="AB39" s="478"/>
      <c r="AC39" s="478"/>
      <c r="AD39" s="479"/>
      <c r="AE39" s="440"/>
      <c r="AF39" s="444"/>
      <c r="AG39" s="445"/>
      <c r="AH39" s="445"/>
      <c r="AI39" s="445"/>
      <c r="AJ39" s="445"/>
      <c r="AK39" s="445"/>
      <c r="AL39" s="445"/>
      <c r="AM39" s="445"/>
      <c r="AN39" s="445"/>
      <c r="AO39" s="445"/>
      <c r="AP39" s="445"/>
      <c r="AQ39" s="445"/>
      <c r="AR39" s="445"/>
      <c r="AS39" s="445"/>
      <c r="AT39" s="445"/>
      <c r="AU39" s="445"/>
      <c r="AV39" s="446"/>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row>
    <row r="40" spans="1:136" ht="30" customHeight="1" thickBot="1" x14ac:dyDescent="0.3">
      <c r="A40" s="388"/>
      <c r="B40" s="499" t="s">
        <v>62</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1"/>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row>
    <row r="41" spans="1:136"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row>
    <row r="42" spans="1:136" ht="21.75" customHeight="1" thickBot="1" x14ac:dyDescent="0.3">
      <c r="A42" s="440"/>
      <c r="B42" s="453" t="s">
        <v>27</v>
      </c>
      <c r="C42" s="454"/>
      <c r="D42" s="454"/>
      <c r="E42" s="454"/>
      <c r="F42" s="454"/>
      <c r="G42" s="454"/>
      <c r="H42" s="455"/>
      <c r="I42" s="456"/>
      <c r="J42" s="456"/>
      <c r="K42" s="456"/>
      <c r="L42" s="456"/>
      <c r="M42" s="456"/>
      <c r="N42" s="342"/>
      <c r="O42" s="342"/>
      <c r="P42" s="342"/>
      <c r="Q42" s="342"/>
      <c r="R42" s="342"/>
      <c r="S42" s="342"/>
      <c r="T42" s="342"/>
      <c r="U42" s="342"/>
      <c r="V42" s="342"/>
      <c r="W42" s="342"/>
      <c r="X42" s="342"/>
      <c r="Y42" s="342"/>
      <c r="Z42" s="342"/>
      <c r="AA42" s="342"/>
      <c r="AB42" s="342"/>
      <c r="AC42" s="342"/>
      <c r="AD42" s="342"/>
      <c r="AE42" s="440"/>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row>
    <row r="43" spans="1:136"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8"/>
      <c r="W43" s="458"/>
      <c r="X43" s="458"/>
      <c r="Y43" s="458"/>
      <c r="Z43" s="458"/>
      <c r="AA43" s="458"/>
      <c r="AB43" s="458"/>
      <c r="AC43" s="458"/>
      <c r="AD43" s="459"/>
      <c r="AE43" s="440"/>
      <c r="AF43" s="460"/>
      <c r="AG43" s="461"/>
      <c r="AH43" s="461"/>
      <c r="AI43" s="461"/>
      <c r="AJ43" s="461"/>
      <c r="AK43" s="461"/>
      <c r="AL43" s="461"/>
      <c r="AM43" s="461"/>
      <c r="AN43" s="461"/>
      <c r="AO43" s="461"/>
      <c r="AP43" s="461"/>
      <c r="AQ43" s="461"/>
      <c r="AR43" s="461"/>
      <c r="AS43" s="461"/>
      <c r="AT43" s="461"/>
      <c r="AU43" s="461"/>
      <c r="AV43" s="462"/>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row>
    <row r="44" spans="1:136"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289"/>
      <c r="W44" s="289"/>
      <c r="X44" s="289"/>
      <c r="Y44" s="289"/>
      <c r="Z44" s="289"/>
      <c r="AA44" s="289"/>
      <c r="AB44" s="289"/>
      <c r="AC44" s="289"/>
      <c r="AD44" s="419"/>
      <c r="AE44" s="388"/>
      <c r="AF44" s="418" t="s">
        <v>41</v>
      </c>
      <c r="AG44" s="289"/>
      <c r="AH44" s="289"/>
      <c r="AI44" s="289"/>
      <c r="AJ44" s="289"/>
      <c r="AK44" s="289"/>
      <c r="AL44" s="289"/>
      <c r="AM44" s="289"/>
      <c r="AN44" s="289"/>
      <c r="AO44" s="289"/>
      <c r="AP44" s="289"/>
      <c r="AQ44" s="289"/>
      <c r="AR44" s="289"/>
      <c r="AS44" s="289"/>
      <c r="AT44" s="289"/>
      <c r="AU44" s="289"/>
      <c r="AV44" s="419"/>
      <c r="AX44" s="342"/>
      <c r="AY44" s="342"/>
      <c r="AZ44" s="342"/>
      <c r="BA44" s="342"/>
      <c r="BB44" s="342"/>
      <c r="BC44" s="342"/>
      <c r="BD44" s="342"/>
      <c r="BE44" s="342"/>
      <c r="BF44" s="342"/>
      <c r="BG44" s="342"/>
      <c r="BH44" s="342"/>
      <c r="BI44" s="342"/>
      <c r="BJ44" s="342"/>
    </row>
    <row r="45" spans="1:136" ht="43.5" customHeight="1" outlineLevel="1" x14ac:dyDescent="0.25">
      <c r="A45" s="463"/>
      <c r="B45" s="464" t="s">
        <v>17</v>
      </c>
      <c r="C45" s="425"/>
      <c r="D45" s="425"/>
      <c r="E45" s="425"/>
      <c r="F45" s="425"/>
      <c r="G45" s="422" t="s">
        <v>310</v>
      </c>
      <c r="H45" s="270"/>
      <c r="I45" s="422" t="s">
        <v>311</v>
      </c>
      <c r="J45" s="447"/>
      <c r="K45" s="447"/>
      <c r="L45" s="401"/>
      <c r="M45" s="420"/>
      <c r="N45" s="269" t="s">
        <v>78</v>
      </c>
      <c r="O45" s="270"/>
      <c r="P45" s="422" t="s">
        <v>312</v>
      </c>
      <c r="Q45" s="270"/>
      <c r="R45" s="425"/>
      <c r="S45" s="422" t="s">
        <v>79</v>
      </c>
      <c r="T45" s="270"/>
      <c r="U45" s="422" t="s">
        <v>82</v>
      </c>
      <c r="V45" s="270"/>
      <c r="W45" s="425"/>
      <c r="X45" s="422" t="s">
        <v>313</v>
      </c>
      <c r="Y45" s="270"/>
      <c r="Z45" s="422" t="s">
        <v>314</v>
      </c>
      <c r="AA45" s="270"/>
      <c r="AB45" s="425"/>
      <c r="AC45" s="422" t="s">
        <v>315</v>
      </c>
      <c r="AD45" s="401"/>
      <c r="AE45" s="388"/>
      <c r="AF45" s="269" t="s">
        <v>41</v>
      </c>
      <c r="AG45" s="270"/>
      <c r="AH45" s="422" t="s">
        <v>316</v>
      </c>
      <c r="AI45" s="270"/>
      <c r="AJ45" s="425"/>
      <c r="AK45" s="422" t="s">
        <v>87</v>
      </c>
      <c r="AL45" s="270"/>
      <c r="AM45" s="422" t="s">
        <v>83</v>
      </c>
      <c r="AN45" s="270"/>
      <c r="AO45" s="425"/>
      <c r="AP45" s="422" t="s">
        <v>317</v>
      </c>
      <c r="AQ45" s="270"/>
      <c r="AR45" s="422" t="s">
        <v>318</v>
      </c>
      <c r="AS45" s="270"/>
      <c r="AT45" s="425"/>
      <c r="AU45" s="422" t="s">
        <v>319</v>
      </c>
      <c r="AV45" s="401"/>
      <c r="AX45" s="342"/>
      <c r="AY45" s="342"/>
      <c r="AZ45" s="342"/>
      <c r="BA45" s="342"/>
      <c r="BB45" s="342"/>
      <c r="BC45" s="342"/>
      <c r="BD45" s="342"/>
      <c r="BE45" s="342"/>
      <c r="BF45" s="342"/>
      <c r="BG45" s="342"/>
      <c r="BH45" s="342"/>
      <c r="BI45" s="342"/>
      <c r="BJ45" s="342"/>
    </row>
    <row r="46" spans="1:136" ht="15" customHeight="1" outlineLevel="1" x14ac:dyDescent="0.25">
      <c r="A46" s="463"/>
      <c r="B46" s="435" t="s">
        <v>18</v>
      </c>
      <c r="C46" s="425"/>
      <c r="D46" s="425"/>
      <c r="E46" s="425"/>
      <c r="F46" s="425"/>
      <c r="G46" s="469">
        <v>600</v>
      </c>
      <c r="H46" s="427" t="str">
        <f>GENERALITES!$D$13</f>
        <v>kWh</v>
      </c>
      <c r="I46" s="485">
        <f>$N$10</f>
        <v>10.080935251798561</v>
      </c>
      <c r="J46" s="449" t="s">
        <v>2</v>
      </c>
      <c r="K46" s="302">
        <f>IF(B46=Annexes!$B$3,G46*I46/100,SUMPRODUCT(G49:G52,I49:I52/100))</f>
        <v>60.485611510791365</v>
      </c>
      <c r="L46" s="428" t="str">
        <f>GENERALITES!$D$13</f>
        <v>kWh</v>
      </c>
      <c r="M46" s="420"/>
      <c r="N46" s="437">
        <f>GENERALITES!$D$46</f>
        <v>0.15</v>
      </c>
      <c r="O46" s="427" t="str">
        <f>GENERALITES!$E$46</f>
        <v>€ / kWh</v>
      </c>
      <c r="P46" s="302">
        <f>IF(B46=Annexes!$B$3,G46*N46,SUM(G49:G52)*N46)</f>
        <v>90</v>
      </c>
      <c r="Q46" s="427" t="s">
        <v>6</v>
      </c>
      <c r="R46" s="425"/>
      <c r="S46" s="302">
        <f>'ETAPE 3'!Z46</f>
        <v>54.157934279726362</v>
      </c>
      <c r="T46" s="427" t="s">
        <v>72</v>
      </c>
      <c r="U46" s="448">
        <f>S46*$B$10</f>
        <v>301.1181145952786</v>
      </c>
      <c r="V46" s="427" t="s">
        <v>6</v>
      </c>
      <c r="W46" s="425"/>
      <c r="X46" s="302">
        <f>P46+U46</f>
        <v>391.1181145952786</v>
      </c>
      <c r="Y46" s="427" t="s">
        <v>6</v>
      </c>
      <c r="Z46" s="302">
        <f>IF($E$10&lt;&gt;0,X46/$E$10,0)</f>
        <v>70.344984639438593</v>
      </c>
      <c r="AA46" s="427" t="s">
        <v>72</v>
      </c>
      <c r="AB46" s="425"/>
      <c r="AC46" s="302">
        <f>$N$10/100*U46+IF(B46=Annexes!$B$3,I46/100*P46,IF(SUM(G49:G52)&gt;0,K46/SUM(G49:G52)*P46,0))</f>
        <v>39.428363890405336</v>
      </c>
      <c r="AD46" s="428" t="s">
        <v>6</v>
      </c>
      <c r="AE46" s="388"/>
      <c r="AF46" s="437">
        <f>GENERALITES!$M$46</f>
        <v>7.85E-4</v>
      </c>
      <c r="AG46" s="427" t="str">
        <f>GENERALITES!$N$46</f>
        <v>TCO2 / kWh</v>
      </c>
      <c r="AH46" s="302">
        <f>IF(B46=Annexes!$B$3,G46*AF46,SUM(G49:G52)*AF46)</f>
        <v>0.47099999999999997</v>
      </c>
      <c r="AI46" s="427" t="s">
        <v>21</v>
      </c>
      <c r="AJ46" s="425"/>
      <c r="AK46" s="302">
        <f>'ETAPE 3'!AR46</f>
        <v>0.28342652273056795</v>
      </c>
      <c r="AL46" s="427" t="s">
        <v>73</v>
      </c>
      <c r="AM46" s="448">
        <f>AK46*$B$10</f>
        <v>1.5758514663819581</v>
      </c>
      <c r="AN46" s="427" t="s">
        <v>21</v>
      </c>
      <c r="AO46" s="425"/>
      <c r="AP46" s="302">
        <f>AH46+AM46</f>
        <v>2.0468514663819581</v>
      </c>
      <c r="AQ46" s="427" t="s">
        <v>21</v>
      </c>
      <c r="AR46" s="302">
        <f>IF($E$10&lt;&gt;0,AP46/$E$10,0)</f>
        <v>0.36813875294639531</v>
      </c>
      <c r="AS46" s="427" t="s">
        <v>73</v>
      </c>
      <c r="AT46" s="425"/>
      <c r="AU46" s="302">
        <f>$N$10/100*AM46+IF(B46=Annexes!$B$3,I46/100*AH46,IF(SUM(G49:G52)&gt;0,K46/SUM(G49:G52)*AH46,0))</f>
        <v>0.20634177102645457</v>
      </c>
      <c r="AV46" s="428" t="s">
        <v>21</v>
      </c>
      <c r="AX46" s="342"/>
      <c r="AY46" s="342"/>
      <c r="AZ46" s="342"/>
      <c r="BA46" s="342"/>
      <c r="BB46" s="342"/>
      <c r="BC46" s="342"/>
      <c r="BD46" s="342"/>
      <c r="BE46" s="342"/>
      <c r="BF46" s="342"/>
      <c r="BG46" s="342"/>
      <c r="BH46" s="342"/>
      <c r="BI46" s="342"/>
      <c r="BJ46" s="342"/>
    </row>
    <row r="47" spans="1:136"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20"/>
      <c r="W47" s="420"/>
      <c r="X47" s="420"/>
      <c r="Y47" s="420"/>
      <c r="Z47" s="420"/>
      <c r="AA47" s="420"/>
      <c r="AB47" s="420"/>
      <c r="AC47" s="420"/>
      <c r="AD47" s="432"/>
      <c r="AE47" s="388"/>
      <c r="AF47" s="431"/>
      <c r="AG47" s="420"/>
      <c r="AH47" s="420"/>
      <c r="AI47" s="420"/>
      <c r="AJ47" s="420"/>
      <c r="AK47" s="420"/>
      <c r="AL47" s="420"/>
      <c r="AM47" s="420"/>
      <c r="AN47" s="420"/>
      <c r="AO47" s="420"/>
      <c r="AP47" s="420"/>
      <c r="AQ47" s="420"/>
      <c r="AR47" s="420"/>
      <c r="AS47" s="420"/>
      <c r="AT47" s="420"/>
      <c r="AU47" s="420"/>
      <c r="AV47" s="43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row>
    <row r="48" spans="1:136" ht="15" customHeight="1" outlineLevel="1" x14ac:dyDescent="0.25">
      <c r="A48" s="463"/>
      <c r="B48" s="464" t="s">
        <v>7</v>
      </c>
      <c r="C48" s="425"/>
      <c r="D48" s="425"/>
      <c r="E48" s="425"/>
      <c r="F48" s="425"/>
      <c r="G48" s="425"/>
      <c r="H48" s="425"/>
      <c r="I48" s="434"/>
      <c r="J48" s="434"/>
      <c r="K48" s="425"/>
      <c r="L48" s="470"/>
      <c r="M48" s="420"/>
      <c r="N48" s="471"/>
      <c r="O48" s="425"/>
      <c r="P48" s="425"/>
      <c r="Q48" s="425"/>
      <c r="R48" s="425"/>
      <c r="S48" s="425"/>
      <c r="T48" s="425"/>
      <c r="U48" s="425"/>
      <c r="V48" s="425"/>
      <c r="W48" s="425"/>
      <c r="X48" s="425"/>
      <c r="Y48" s="425"/>
      <c r="Z48" s="433"/>
      <c r="AA48" s="433"/>
      <c r="AB48" s="433"/>
      <c r="AC48" s="420"/>
      <c r="AD48" s="432"/>
      <c r="AE48" s="388"/>
      <c r="AF48" s="431"/>
      <c r="AG48" s="420"/>
      <c r="AH48" s="420"/>
      <c r="AI48" s="420"/>
      <c r="AJ48" s="420"/>
      <c r="AK48" s="420"/>
      <c r="AL48" s="420"/>
      <c r="AM48" s="420"/>
      <c r="AN48" s="420"/>
      <c r="AO48" s="420"/>
      <c r="AP48" s="420"/>
      <c r="AQ48" s="420"/>
      <c r="AR48" s="420"/>
      <c r="AS48" s="420"/>
      <c r="AT48" s="420"/>
      <c r="AU48" s="420"/>
      <c r="AV48" s="432"/>
    </row>
    <row r="49" spans="1:136" outlineLevel="1" x14ac:dyDescent="0.25">
      <c r="A49" s="463"/>
      <c r="B49" s="472"/>
      <c r="C49" s="425"/>
      <c r="D49" s="425"/>
      <c r="E49" s="425"/>
      <c r="F49" s="425"/>
      <c r="G49" s="473"/>
      <c r="H49" s="427" t="str">
        <f>GENERALITES!$D$13</f>
        <v>kWh</v>
      </c>
      <c r="I49" s="436"/>
      <c r="J49" s="430" t="s">
        <v>2</v>
      </c>
      <c r="K49" s="425"/>
      <c r="L49" s="470"/>
      <c r="M49" s="420"/>
      <c r="N49" s="471"/>
      <c r="O49" s="425"/>
      <c r="P49" s="425"/>
      <c r="Q49" s="425"/>
      <c r="R49" s="425"/>
      <c r="S49" s="425"/>
      <c r="T49" s="425"/>
      <c r="U49" s="425"/>
      <c r="V49" s="425"/>
      <c r="W49" s="425"/>
      <c r="X49" s="425"/>
      <c r="Y49" s="425"/>
      <c r="Z49" s="475"/>
      <c r="AA49" s="475"/>
      <c r="AB49" s="475"/>
      <c r="AC49" s="420"/>
      <c r="AD49" s="432"/>
      <c r="AE49" s="388"/>
      <c r="AF49" s="431"/>
      <c r="AG49" s="420"/>
      <c r="AH49" s="420"/>
      <c r="AI49" s="420"/>
      <c r="AJ49" s="420"/>
      <c r="AK49" s="420"/>
      <c r="AL49" s="420"/>
      <c r="AM49" s="420"/>
      <c r="AN49" s="420"/>
      <c r="AO49" s="420"/>
      <c r="AP49" s="420"/>
      <c r="AQ49" s="420"/>
      <c r="AR49" s="420"/>
      <c r="AS49" s="420"/>
      <c r="AT49" s="420"/>
      <c r="AU49" s="420"/>
      <c r="AV49" s="432"/>
    </row>
    <row r="50" spans="1:136" outlineLevel="1" x14ac:dyDescent="0.25">
      <c r="A50" s="463"/>
      <c r="B50" s="472"/>
      <c r="C50" s="425"/>
      <c r="D50" s="425"/>
      <c r="E50" s="425"/>
      <c r="F50" s="425"/>
      <c r="G50" s="473"/>
      <c r="H50" s="427" t="str">
        <f>GENERALITES!$D$13</f>
        <v>kWh</v>
      </c>
      <c r="I50" s="436"/>
      <c r="J50" s="430" t="s">
        <v>2</v>
      </c>
      <c r="K50" s="425"/>
      <c r="L50" s="470"/>
      <c r="M50" s="420"/>
      <c r="N50" s="471"/>
      <c r="O50" s="425"/>
      <c r="P50" s="425"/>
      <c r="Q50" s="425"/>
      <c r="R50" s="425"/>
      <c r="S50" s="425"/>
      <c r="T50" s="425"/>
      <c r="U50" s="425"/>
      <c r="V50" s="425"/>
      <c r="W50" s="425"/>
      <c r="X50" s="425"/>
      <c r="Y50" s="425"/>
      <c r="Z50" s="433"/>
      <c r="AA50" s="433"/>
      <c r="AB50" s="433"/>
      <c r="AC50" s="420"/>
      <c r="AD50" s="432"/>
      <c r="AE50" s="388"/>
      <c r="AF50" s="431"/>
      <c r="AG50" s="420"/>
      <c r="AH50" s="420"/>
      <c r="AI50" s="420"/>
      <c r="AJ50" s="420"/>
      <c r="AK50" s="420"/>
      <c r="AL50" s="420"/>
      <c r="AM50" s="420"/>
      <c r="AN50" s="420"/>
      <c r="AO50" s="420"/>
      <c r="AP50" s="420"/>
      <c r="AQ50" s="420"/>
      <c r="AR50" s="420"/>
      <c r="AS50" s="420"/>
      <c r="AT50" s="420"/>
      <c r="AU50" s="420"/>
      <c r="AV50" s="432"/>
    </row>
    <row r="51" spans="1:136" outlineLevel="1" x14ac:dyDescent="0.25">
      <c r="A51" s="463"/>
      <c r="B51" s="472"/>
      <c r="C51" s="425"/>
      <c r="D51" s="425"/>
      <c r="E51" s="425"/>
      <c r="F51" s="425"/>
      <c r="G51" s="473"/>
      <c r="H51" s="427" t="str">
        <f>GENERALITES!$D$13</f>
        <v>kWh</v>
      </c>
      <c r="I51" s="436"/>
      <c r="J51" s="430" t="s">
        <v>2</v>
      </c>
      <c r="K51" s="425"/>
      <c r="L51" s="470"/>
      <c r="M51" s="420"/>
      <c r="N51" s="471"/>
      <c r="O51" s="425"/>
      <c r="P51" s="425"/>
      <c r="Q51" s="425"/>
      <c r="R51" s="425"/>
      <c r="S51" s="425"/>
      <c r="T51" s="425"/>
      <c r="U51" s="425"/>
      <c r="V51" s="425"/>
      <c r="W51" s="425"/>
      <c r="X51" s="425"/>
      <c r="Y51" s="425"/>
      <c r="Z51" s="433"/>
      <c r="AA51" s="433"/>
      <c r="AB51" s="433"/>
      <c r="AC51" s="420"/>
      <c r="AD51" s="439"/>
      <c r="AE51" s="476"/>
      <c r="AF51" s="431"/>
      <c r="AG51" s="420"/>
      <c r="AH51" s="420"/>
      <c r="AI51" s="420"/>
      <c r="AJ51" s="420"/>
      <c r="AK51" s="420"/>
      <c r="AL51" s="420"/>
      <c r="AM51" s="420"/>
      <c r="AN51" s="420"/>
      <c r="AO51" s="420"/>
      <c r="AP51" s="420"/>
      <c r="AQ51" s="420"/>
      <c r="AR51" s="420"/>
      <c r="AS51" s="420"/>
      <c r="AT51" s="420"/>
      <c r="AU51" s="420"/>
      <c r="AV51" s="432"/>
    </row>
    <row r="52" spans="1:136" outlineLevel="1" x14ac:dyDescent="0.25">
      <c r="B52" s="472"/>
      <c r="C52" s="425"/>
      <c r="D52" s="425"/>
      <c r="E52" s="425"/>
      <c r="F52" s="425"/>
      <c r="G52" s="473"/>
      <c r="H52" s="427" t="str">
        <f>GENERALITES!$D$13</f>
        <v>kWh</v>
      </c>
      <c r="I52" s="436"/>
      <c r="J52" s="430" t="s">
        <v>2</v>
      </c>
      <c r="K52" s="425"/>
      <c r="L52" s="470"/>
      <c r="M52" s="420"/>
      <c r="N52" s="471"/>
      <c r="O52" s="425"/>
      <c r="P52" s="425"/>
      <c r="Q52" s="425"/>
      <c r="R52" s="425"/>
      <c r="S52" s="425"/>
      <c r="T52" s="425"/>
      <c r="U52" s="425"/>
      <c r="V52" s="425"/>
      <c r="W52" s="425"/>
      <c r="X52" s="425"/>
      <c r="Y52" s="425"/>
      <c r="Z52" s="433"/>
      <c r="AA52" s="433"/>
      <c r="AB52" s="433"/>
      <c r="AC52" s="420"/>
      <c r="AD52" s="439"/>
      <c r="AE52" s="476"/>
      <c r="AF52" s="431"/>
      <c r="AG52" s="420"/>
      <c r="AH52" s="420"/>
      <c r="AI52" s="420"/>
      <c r="AJ52" s="420"/>
      <c r="AK52" s="420"/>
      <c r="AL52" s="420"/>
      <c r="AM52" s="420"/>
      <c r="AN52" s="420"/>
      <c r="AO52" s="420"/>
      <c r="AP52" s="420"/>
      <c r="AQ52" s="420"/>
      <c r="AR52" s="420"/>
      <c r="AS52" s="420"/>
      <c r="AT52" s="420"/>
      <c r="AU52" s="420"/>
      <c r="AV52" s="432"/>
    </row>
    <row r="53" spans="1:136"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8"/>
      <c r="W53" s="478"/>
      <c r="X53" s="478"/>
      <c r="Y53" s="478"/>
      <c r="Z53" s="478"/>
      <c r="AA53" s="478"/>
      <c r="AB53" s="478"/>
      <c r="AC53" s="478"/>
      <c r="AD53" s="479"/>
      <c r="AE53" s="440"/>
      <c r="AF53" s="444"/>
      <c r="AG53" s="445"/>
      <c r="AH53" s="445"/>
      <c r="AI53" s="445"/>
      <c r="AJ53" s="445"/>
      <c r="AK53" s="445"/>
      <c r="AL53" s="445"/>
      <c r="AM53" s="445"/>
      <c r="AN53" s="445"/>
      <c r="AO53" s="445"/>
      <c r="AP53" s="445"/>
      <c r="AQ53" s="445"/>
      <c r="AR53" s="445"/>
      <c r="AS53" s="445"/>
      <c r="AT53" s="445"/>
      <c r="AU53" s="445"/>
      <c r="AV53" s="446"/>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c r="DQ53" s="388"/>
      <c r="DR53" s="388"/>
      <c r="DS53" s="388"/>
      <c r="DT53" s="388"/>
      <c r="DU53" s="388"/>
      <c r="DV53" s="388"/>
      <c r="DW53" s="388"/>
      <c r="DX53" s="388"/>
      <c r="DY53" s="388"/>
      <c r="DZ53" s="388"/>
      <c r="EA53" s="388"/>
      <c r="EB53" s="388"/>
      <c r="EC53" s="388"/>
      <c r="ED53" s="388"/>
      <c r="EE53" s="388"/>
      <c r="EF53" s="388"/>
    </row>
    <row r="54" spans="1:136" ht="21.75" customHeight="1" thickBot="1" x14ac:dyDescent="0.3">
      <c r="A54" s="440"/>
      <c r="B54" s="508" t="s">
        <v>28</v>
      </c>
      <c r="C54" s="509"/>
      <c r="D54" s="509"/>
      <c r="E54" s="509"/>
      <c r="F54" s="509"/>
      <c r="G54" s="509"/>
      <c r="H54" s="510"/>
      <c r="I54" s="342"/>
      <c r="J54" s="342"/>
      <c r="K54" s="342"/>
      <c r="L54" s="342"/>
      <c r="M54" s="342"/>
      <c r="N54" s="342"/>
      <c r="O54" s="342"/>
      <c r="P54" s="342"/>
      <c r="Q54" s="342"/>
      <c r="R54" s="342"/>
      <c r="S54" s="342"/>
      <c r="T54" s="342"/>
      <c r="U54" s="342"/>
      <c r="V54" s="342"/>
      <c r="W54" s="342"/>
      <c r="X54" s="342"/>
      <c r="Y54" s="342"/>
      <c r="Z54" s="342"/>
      <c r="AA54" s="342"/>
      <c r="AB54" s="342"/>
      <c r="AC54" s="342"/>
      <c r="AD54" s="342"/>
      <c r="AE54" s="440"/>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c r="DQ54" s="388"/>
      <c r="DR54" s="388"/>
      <c r="DS54" s="388"/>
      <c r="DT54" s="388"/>
      <c r="DU54" s="388"/>
      <c r="DV54" s="388"/>
      <c r="DW54" s="388"/>
      <c r="DX54" s="388"/>
      <c r="DY54" s="388"/>
      <c r="DZ54" s="388"/>
      <c r="EA54" s="388"/>
      <c r="EB54" s="388"/>
      <c r="EC54" s="388"/>
      <c r="ED54" s="388"/>
      <c r="EE54" s="388"/>
      <c r="EF54" s="388"/>
    </row>
    <row r="55" spans="1:136" ht="15.75" outlineLevel="1" thickBot="1" x14ac:dyDescent="0.3">
      <c r="B55" s="412"/>
      <c r="C55" s="413"/>
      <c r="D55" s="413"/>
      <c r="E55" s="413"/>
      <c r="F55" s="413"/>
      <c r="G55" s="413"/>
      <c r="H55" s="413"/>
      <c r="I55" s="413"/>
      <c r="J55" s="413"/>
      <c r="K55" s="413"/>
      <c r="L55" s="414"/>
      <c r="N55" s="412"/>
      <c r="O55" s="413"/>
      <c r="P55" s="413"/>
      <c r="Q55" s="413"/>
      <c r="R55" s="413"/>
      <c r="S55" s="413"/>
      <c r="T55" s="413"/>
      <c r="U55" s="413"/>
      <c r="V55" s="413"/>
      <c r="W55" s="413"/>
      <c r="X55" s="413"/>
      <c r="Y55" s="413"/>
      <c r="Z55" s="413"/>
      <c r="AA55" s="413"/>
      <c r="AB55" s="413"/>
      <c r="AC55" s="413"/>
      <c r="AD55" s="414"/>
      <c r="AF55" s="412"/>
      <c r="AG55" s="413"/>
      <c r="AH55" s="413"/>
      <c r="AI55" s="413"/>
      <c r="AJ55" s="413"/>
      <c r="AK55" s="413"/>
      <c r="AL55" s="413"/>
      <c r="AM55" s="413"/>
      <c r="AN55" s="413"/>
      <c r="AO55" s="413"/>
      <c r="AP55" s="413"/>
      <c r="AQ55" s="413"/>
      <c r="AR55" s="413"/>
      <c r="AS55" s="413"/>
      <c r="AT55" s="413"/>
      <c r="AU55" s="413"/>
      <c r="AV55" s="414"/>
    </row>
    <row r="56" spans="1:136" ht="15" customHeight="1" outlineLevel="1" thickBot="1" x14ac:dyDescent="0.3">
      <c r="B56" s="511" t="s">
        <v>48</v>
      </c>
      <c r="C56" s="512"/>
      <c r="D56" s="512"/>
      <c r="E56" s="512"/>
      <c r="F56" s="512"/>
      <c r="G56" s="512"/>
      <c r="H56" s="512"/>
      <c r="I56" s="512"/>
      <c r="J56" s="512"/>
      <c r="K56" s="512"/>
      <c r="L56" s="513"/>
      <c r="M56" s="433"/>
      <c r="N56" s="418" t="s">
        <v>49</v>
      </c>
      <c r="O56" s="289"/>
      <c r="P56" s="289"/>
      <c r="Q56" s="289"/>
      <c r="R56" s="289"/>
      <c r="S56" s="289"/>
      <c r="T56" s="289"/>
      <c r="U56" s="289"/>
      <c r="V56" s="289"/>
      <c r="W56" s="289"/>
      <c r="X56" s="289"/>
      <c r="Y56" s="289"/>
      <c r="Z56" s="289"/>
      <c r="AA56" s="289"/>
      <c r="AB56" s="289"/>
      <c r="AC56" s="289"/>
      <c r="AD56" s="419"/>
      <c r="AE56" s="388"/>
      <c r="AF56" s="418" t="s">
        <v>42</v>
      </c>
      <c r="AG56" s="289"/>
      <c r="AH56" s="289"/>
      <c r="AI56" s="289"/>
      <c r="AJ56" s="289"/>
      <c r="AK56" s="289"/>
      <c r="AL56" s="289"/>
      <c r="AM56" s="289"/>
      <c r="AN56" s="289"/>
      <c r="AO56" s="289"/>
      <c r="AP56" s="289"/>
      <c r="AQ56" s="289"/>
      <c r="AR56" s="289"/>
      <c r="AS56" s="289"/>
      <c r="AT56" s="289"/>
      <c r="AU56" s="289"/>
      <c r="AV56" s="419"/>
      <c r="AX56" s="342"/>
      <c r="AY56" s="342"/>
      <c r="AZ56" s="342"/>
      <c r="BA56" s="342"/>
      <c r="BB56" s="342"/>
      <c r="BC56" s="342"/>
      <c r="BD56" s="342"/>
      <c r="BE56" s="342"/>
      <c r="BF56" s="342"/>
      <c r="BG56" s="342"/>
      <c r="BH56" s="342"/>
      <c r="BI56" s="342"/>
      <c r="BJ56" s="342"/>
    </row>
    <row r="57" spans="1:136" ht="43.5" customHeight="1" outlineLevel="1" x14ac:dyDescent="0.25">
      <c r="B57" s="486" t="s">
        <v>17</v>
      </c>
      <c r="C57" s="425"/>
      <c r="D57" s="425"/>
      <c r="E57" s="425"/>
      <c r="F57" s="425"/>
      <c r="G57" s="489" t="s">
        <v>320</v>
      </c>
      <c r="H57" s="466"/>
      <c r="I57" s="489" t="s">
        <v>321</v>
      </c>
      <c r="J57" s="492"/>
      <c r="K57" s="492"/>
      <c r="L57" s="490"/>
      <c r="M57" s="420"/>
      <c r="N57" s="269" t="s">
        <v>84</v>
      </c>
      <c r="O57" s="270"/>
      <c r="P57" s="422" t="s">
        <v>322</v>
      </c>
      <c r="Q57" s="270"/>
      <c r="R57" s="425"/>
      <c r="S57" s="422" t="s">
        <v>85</v>
      </c>
      <c r="T57" s="270"/>
      <c r="U57" s="422" t="s">
        <v>86</v>
      </c>
      <c r="V57" s="270"/>
      <c r="W57" s="425"/>
      <c r="X57" s="422" t="s">
        <v>323</v>
      </c>
      <c r="Y57" s="270"/>
      <c r="Z57" s="422" t="s">
        <v>324</v>
      </c>
      <c r="AA57" s="270"/>
      <c r="AB57" s="425"/>
      <c r="AC57" s="422" t="s">
        <v>325</v>
      </c>
      <c r="AD57" s="401"/>
      <c r="AE57" s="388"/>
      <c r="AF57" s="269" t="s">
        <v>42</v>
      </c>
      <c r="AG57" s="270"/>
      <c r="AH57" s="422" t="s">
        <v>326</v>
      </c>
      <c r="AI57" s="270"/>
      <c r="AJ57" s="425"/>
      <c r="AK57" s="422" t="s">
        <v>88</v>
      </c>
      <c r="AL57" s="270"/>
      <c r="AM57" s="422" t="s">
        <v>90</v>
      </c>
      <c r="AN57" s="270"/>
      <c r="AO57" s="425"/>
      <c r="AP57" s="422" t="s">
        <v>327</v>
      </c>
      <c r="AQ57" s="270"/>
      <c r="AR57" s="422" t="s">
        <v>328</v>
      </c>
      <c r="AS57" s="270"/>
      <c r="AT57" s="425"/>
      <c r="AU57" s="422" t="s">
        <v>329</v>
      </c>
      <c r="AV57" s="401"/>
      <c r="AX57" s="342"/>
      <c r="AY57" s="342"/>
      <c r="AZ57" s="342"/>
      <c r="BA57" s="342"/>
      <c r="BB57" s="342"/>
      <c r="BC57" s="342"/>
      <c r="BD57" s="342"/>
      <c r="BE57" s="342"/>
      <c r="BF57" s="342"/>
      <c r="BG57" s="342"/>
      <c r="BH57" s="342"/>
      <c r="BI57" s="342"/>
      <c r="BJ57" s="342"/>
    </row>
    <row r="58" spans="1:136" outlineLevel="1" x14ac:dyDescent="0.25">
      <c r="B58" s="435" t="s">
        <v>18</v>
      </c>
      <c r="C58" s="425"/>
      <c r="D58" s="425"/>
      <c r="E58" s="425"/>
      <c r="F58" s="425"/>
      <c r="G58" s="469"/>
      <c r="H58" s="427" t="str">
        <f>GENERALITES!$D$14</f>
        <v>kg</v>
      </c>
      <c r="I58" s="485">
        <f>$N$10</f>
        <v>10.080935251798561</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425"/>
      <c r="S58" s="302">
        <f>'ETAPE 3'!Z58</f>
        <v>0</v>
      </c>
      <c r="T58" s="427" t="s">
        <v>72</v>
      </c>
      <c r="U58" s="302">
        <f>S58*$B$10</f>
        <v>0</v>
      </c>
      <c r="V58" s="427" t="s">
        <v>6</v>
      </c>
      <c r="W58" s="425"/>
      <c r="X58" s="302">
        <f>P58+U58</f>
        <v>0</v>
      </c>
      <c r="Y58" s="427" t="s">
        <v>6</v>
      </c>
      <c r="Z58" s="302">
        <f>IF($E$10&lt;&gt;0,X58/$E$10,0)</f>
        <v>0</v>
      </c>
      <c r="AA58" s="427" t="s">
        <v>72</v>
      </c>
      <c r="AB58" s="425"/>
      <c r="AC58" s="302">
        <f>$N$10/100*U58+IF(B58=Annexes!$B$3,I58/100*P58,IF(SUM(G61:G64)&gt;0,K58/SUM(G61:G64)*P58,0))</f>
        <v>0</v>
      </c>
      <c r="AD58" s="428" t="s">
        <v>6</v>
      </c>
      <c r="AE58" s="388"/>
      <c r="AF58" s="437">
        <f>GENERALITES!$M$47</f>
        <v>0</v>
      </c>
      <c r="AG58" s="427" t="str">
        <f>GENERALITES!$N$47</f>
        <v>TCO2 / kg</v>
      </c>
      <c r="AH58" s="302">
        <f>IF(B58=Annexes!$B$3,G58*AF58,SUM(G61:G64)*AF58)</f>
        <v>0</v>
      </c>
      <c r="AI58" s="427" t="s">
        <v>21</v>
      </c>
      <c r="AJ58" s="425"/>
      <c r="AK58" s="302">
        <f>'ETAPE 3'!AR58</f>
        <v>0</v>
      </c>
      <c r="AL58" s="427" t="s">
        <v>73</v>
      </c>
      <c r="AM58" s="302">
        <f>AK58*$B$10</f>
        <v>0</v>
      </c>
      <c r="AN58" s="427" t="s">
        <v>21</v>
      </c>
      <c r="AO58" s="425"/>
      <c r="AP58" s="302">
        <f>AH58+AM58</f>
        <v>0</v>
      </c>
      <c r="AQ58" s="427" t="s">
        <v>21</v>
      </c>
      <c r="AR58" s="302">
        <f>IF($E$10&lt;&gt;0,AP58/$E$10,0)</f>
        <v>0</v>
      </c>
      <c r="AS58" s="427" t="s">
        <v>73</v>
      </c>
      <c r="AT58" s="425"/>
      <c r="AU58" s="302">
        <f>$N$10/100*AM58+IF(B58=Annexes!$B$3,I58/100*AH58,IF(SUM(G61:G64)&gt;0,K58/SUM(G61:G64)*AH58,0))</f>
        <v>0</v>
      </c>
      <c r="AV58" s="428" t="s">
        <v>21</v>
      </c>
      <c r="AX58" s="342"/>
      <c r="AY58" s="342"/>
      <c r="AZ58" s="342"/>
      <c r="BA58" s="342"/>
      <c r="BB58" s="342"/>
      <c r="BC58" s="342"/>
      <c r="BD58" s="342"/>
      <c r="BE58" s="342"/>
      <c r="BF58" s="342"/>
      <c r="BG58" s="342"/>
      <c r="BH58" s="342"/>
      <c r="BI58" s="342"/>
      <c r="BJ58" s="342"/>
    </row>
    <row r="59" spans="1:136" outlineLevel="1" x14ac:dyDescent="0.25">
      <c r="B59" s="431"/>
      <c r="C59" s="425"/>
      <c r="D59" s="425"/>
      <c r="E59" s="425"/>
      <c r="F59" s="425"/>
      <c r="G59" s="420"/>
      <c r="H59" s="420"/>
      <c r="I59" s="420"/>
      <c r="J59" s="420"/>
      <c r="K59" s="420"/>
      <c r="L59" s="432"/>
      <c r="M59" s="420"/>
      <c r="N59" s="514"/>
      <c r="O59" s="420"/>
      <c r="P59" s="515"/>
      <c r="Q59" s="420"/>
      <c r="R59" s="425"/>
      <c r="S59" s="516"/>
      <c r="T59" s="420"/>
      <c r="U59" s="515"/>
      <c r="V59" s="420"/>
      <c r="W59" s="425"/>
      <c r="X59" s="515"/>
      <c r="Y59" s="420"/>
      <c r="Z59" s="515"/>
      <c r="AA59" s="420"/>
      <c r="AB59" s="425"/>
      <c r="AC59" s="517"/>
      <c r="AD59" s="432"/>
      <c r="AE59" s="388"/>
      <c r="AF59" s="514"/>
      <c r="AG59" s="420"/>
      <c r="AH59" s="515"/>
      <c r="AI59" s="420"/>
      <c r="AJ59" s="425"/>
      <c r="AK59" s="516"/>
      <c r="AL59" s="420"/>
      <c r="AM59" s="515"/>
      <c r="AN59" s="420"/>
      <c r="AO59" s="425"/>
      <c r="AP59" s="515"/>
      <c r="AQ59" s="420"/>
      <c r="AR59" s="515"/>
      <c r="AS59" s="420"/>
      <c r="AT59" s="425"/>
      <c r="AU59" s="518"/>
      <c r="AV59" s="432"/>
      <c r="AX59" s="342"/>
      <c r="AY59" s="342"/>
      <c r="AZ59" s="342"/>
      <c r="BA59" s="342"/>
      <c r="BB59" s="342"/>
      <c r="BC59" s="342"/>
      <c r="BD59" s="342"/>
      <c r="BE59" s="342"/>
      <c r="BF59" s="342"/>
      <c r="BG59" s="342"/>
      <c r="BH59" s="342"/>
      <c r="BI59" s="342"/>
      <c r="BJ59" s="342"/>
    </row>
    <row r="60" spans="1:136" outlineLevel="1" x14ac:dyDescent="0.25">
      <c r="B60" s="464" t="s">
        <v>7</v>
      </c>
      <c r="C60" s="425"/>
      <c r="D60" s="425"/>
      <c r="E60" s="425"/>
      <c r="F60" s="425"/>
      <c r="G60" s="519"/>
      <c r="H60" s="519"/>
      <c r="I60" s="434"/>
      <c r="J60" s="434"/>
      <c r="K60" s="425"/>
      <c r="L60" s="470"/>
      <c r="M60" s="420"/>
      <c r="N60" s="514"/>
      <c r="O60" s="420"/>
      <c r="P60" s="515"/>
      <c r="Q60" s="420"/>
      <c r="R60" s="425"/>
      <c r="S60" s="516"/>
      <c r="T60" s="420"/>
      <c r="U60" s="515"/>
      <c r="V60" s="420"/>
      <c r="W60" s="425"/>
      <c r="X60" s="515"/>
      <c r="Y60" s="420"/>
      <c r="Z60" s="515"/>
      <c r="AA60" s="420"/>
      <c r="AB60" s="425"/>
      <c r="AC60" s="517"/>
      <c r="AD60" s="432"/>
      <c r="AE60" s="388"/>
      <c r="AF60" s="514"/>
      <c r="AG60" s="420"/>
      <c r="AH60" s="515"/>
      <c r="AI60" s="420"/>
      <c r="AJ60" s="425"/>
      <c r="AK60" s="516"/>
      <c r="AL60" s="420"/>
      <c r="AM60" s="515"/>
      <c r="AN60" s="420"/>
      <c r="AO60" s="425"/>
      <c r="AP60" s="515"/>
      <c r="AQ60" s="420"/>
      <c r="AR60" s="515"/>
      <c r="AS60" s="420"/>
      <c r="AT60" s="425"/>
      <c r="AU60" s="518"/>
      <c r="AV60" s="432"/>
      <c r="AX60" s="342"/>
      <c r="AY60" s="342"/>
      <c r="AZ60" s="342"/>
      <c r="BA60" s="342"/>
      <c r="BB60" s="342"/>
      <c r="BC60" s="342"/>
      <c r="BD60" s="342"/>
      <c r="BE60" s="342"/>
      <c r="BF60" s="342"/>
      <c r="BG60" s="342"/>
      <c r="BH60" s="342"/>
      <c r="BI60" s="342"/>
      <c r="BJ60" s="342"/>
    </row>
    <row r="61" spans="1:136" outlineLevel="1" x14ac:dyDescent="0.25">
      <c r="B61" s="472"/>
      <c r="C61" s="425"/>
      <c r="D61" s="425"/>
      <c r="E61" s="425"/>
      <c r="F61" s="425"/>
      <c r="G61" s="473"/>
      <c r="H61" s="427" t="str">
        <f>GENERALITES!$D$14</f>
        <v>kg</v>
      </c>
      <c r="I61" s="436"/>
      <c r="J61" s="430" t="s">
        <v>2</v>
      </c>
      <c r="K61" s="425"/>
      <c r="L61" s="470"/>
      <c r="M61" s="420"/>
      <c r="N61" s="514"/>
      <c r="O61" s="420"/>
      <c r="P61" s="515"/>
      <c r="Q61" s="420"/>
      <c r="R61" s="425"/>
      <c r="S61" s="516"/>
      <c r="T61" s="420"/>
      <c r="U61" s="515"/>
      <c r="V61" s="420"/>
      <c r="W61" s="425"/>
      <c r="X61" s="515"/>
      <c r="Y61" s="420"/>
      <c r="Z61" s="515"/>
      <c r="AA61" s="420"/>
      <c r="AB61" s="425"/>
      <c r="AC61" s="517"/>
      <c r="AD61" s="432"/>
      <c r="AE61" s="388"/>
      <c r="AF61" s="514"/>
      <c r="AG61" s="420"/>
      <c r="AH61" s="515"/>
      <c r="AI61" s="420"/>
      <c r="AJ61" s="425"/>
      <c r="AK61" s="516"/>
      <c r="AL61" s="420"/>
      <c r="AM61" s="515"/>
      <c r="AN61" s="420"/>
      <c r="AO61" s="425"/>
      <c r="AP61" s="515"/>
      <c r="AQ61" s="420"/>
      <c r="AR61" s="515"/>
      <c r="AS61" s="420"/>
      <c r="AT61" s="425"/>
      <c r="AU61" s="518"/>
      <c r="AV61" s="432"/>
      <c r="AX61" s="342"/>
      <c r="AY61" s="342"/>
      <c r="AZ61" s="342"/>
      <c r="BA61" s="342"/>
      <c r="BB61" s="342"/>
      <c r="BC61" s="342"/>
      <c r="BD61" s="342"/>
      <c r="BE61" s="342"/>
      <c r="BF61" s="342"/>
      <c r="BG61" s="342"/>
      <c r="BH61" s="342"/>
      <c r="BI61" s="342"/>
      <c r="BJ61" s="342"/>
    </row>
    <row r="62" spans="1:136" outlineLevel="1" x14ac:dyDescent="0.25">
      <c r="B62" s="472"/>
      <c r="C62" s="425"/>
      <c r="D62" s="425"/>
      <c r="E62" s="425"/>
      <c r="F62" s="425"/>
      <c r="G62" s="473"/>
      <c r="H62" s="427" t="str">
        <f>GENERALITES!$D$14</f>
        <v>kg</v>
      </c>
      <c r="I62" s="436"/>
      <c r="J62" s="430" t="s">
        <v>2</v>
      </c>
      <c r="K62" s="425"/>
      <c r="L62" s="470"/>
      <c r="M62" s="420"/>
      <c r="N62" s="514"/>
      <c r="O62" s="420"/>
      <c r="P62" s="515"/>
      <c r="Q62" s="420"/>
      <c r="R62" s="425"/>
      <c r="S62" s="516"/>
      <c r="T62" s="420"/>
      <c r="U62" s="515"/>
      <c r="V62" s="420"/>
      <c r="W62" s="425"/>
      <c r="X62" s="515"/>
      <c r="Y62" s="420"/>
      <c r="Z62" s="515"/>
      <c r="AA62" s="420"/>
      <c r="AB62" s="425"/>
      <c r="AC62" s="517"/>
      <c r="AD62" s="432"/>
      <c r="AE62" s="388"/>
      <c r="AF62" s="514"/>
      <c r="AG62" s="420"/>
      <c r="AH62" s="515"/>
      <c r="AI62" s="420"/>
      <c r="AJ62" s="425"/>
      <c r="AK62" s="516"/>
      <c r="AL62" s="420"/>
      <c r="AM62" s="515"/>
      <c r="AN62" s="420"/>
      <c r="AO62" s="425"/>
      <c r="AP62" s="515"/>
      <c r="AQ62" s="420"/>
      <c r="AR62" s="515"/>
      <c r="AS62" s="420"/>
      <c r="AT62" s="425"/>
      <c r="AU62" s="518"/>
      <c r="AV62" s="432"/>
      <c r="AX62" s="342"/>
      <c r="AY62" s="342"/>
      <c r="AZ62" s="342"/>
      <c r="BA62" s="342"/>
      <c r="BB62" s="342"/>
      <c r="BC62" s="342"/>
      <c r="BD62" s="342"/>
      <c r="BE62" s="342"/>
      <c r="BF62" s="342"/>
      <c r="BG62" s="342"/>
      <c r="BH62" s="342"/>
      <c r="BI62" s="342"/>
      <c r="BJ62" s="342"/>
    </row>
    <row r="63" spans="1:136" outlineLevel="1" x14ac:dyDescent="0.25">
      <c r="B63" s="472"/>
      <c r="C63" s="425"/>
      <c r="D63" s="425"/>
      <c r="E63" s="425"/>
      <c r="F63" s="425"/>
      <c r="G63" s="473"/>
      <c r="H63" s="427" t="str">
        <f>GENERALITES!$D$14</f>
        <v>kg</v>
      </c>
      <c r="I63" s="436"/>
      <c r="J63" s="430" t="s">
        <v>2</v>
      </c>
      <c r="K63" s="425"/>
      <c r="L63" s="470"/>
      <c r="M63" s="420"/>
      <c r="N63" s="514"/>
      <c r="O63" s="420"/>
      <c r="P63" s="515"/>
      <c r="Q63" s="420"/>
      <c r="R63" s="425"/>
      <c r="S63" s="516"/>
      <c r="T63" s="420"/>
      <c r="U63" s="515"/>
      <c r="V63" s="420"/>
      <c r="W63" s="425"/>
      <c r="X63" s="515"/>
      <c r="Y63" s="420"/>
      <c r="Z63" s="515"/>
      <c r="AA63" s="420"/>
      <c r="AB63" s="425"/>
      <c r="AC63" s="517"/>
      <c r="AD63" s="432"/>
      <c r="AE63" s="388"/>
      <c r="AF63" s="514"/>
      <c r="AG63" s="420"/>
      <c r="AH63" s="515"/>
      <c r="AI63" s="420"/>
      <c r="AJ63" s="425"/>
      <c r="AK63" s="516"/>
      <c r="AL63" s="420"/>
      <c r="AM63" s="515"/>
      <c r="AN63" s="420"/>
      <c r="AO63" s="425"/>
      <c r="AP63" s="515"/>
      <c r="AQ63" s="420"/>
      <c r="AR63" s="515"/>
      <c r="AS63" s="420"/>
      <c r="AT63" s="425"/>
      <c r="AU63" s="518"/>
      <c r="AV63" s="432"/>
      <c r="AX63" s="342"/>
      <c r="AY63" s="342"/>
      <c r="AZ63" s="342"/>
      <c r="BA63" s="342"/>
      <c r="BB63" s="342"/>
      <c r="BC63" s="342"/>
      <c r="BD63" s="342"/>
      <c r="BE63" s="342"/>
      <c r="BF63" s="342"/>
      <c r="BG63" s="342"/>
      <c r="BH63" s="342"/>
      <c r="BI63" s="342"/>
      <c r="BJ63" s="342"/>
    </row>
    <row r="64" spans="1:136" outlineLevel="1" x14ac:dyDescent="0.25">
      <c r="B64" s="472"/>
      <c r="C64" s="425"/>
      <c r="D64" s="425"/>
      <c r="E64" s="425"/>
      <c r="F64" s="425"/>
      <c r="G64" s="473"/>
      <c r="H64" s="427" t="str">
        <f>GENERALITES!$D$14</f>
        <v>kg</v>
      </c>
      <c r="I64" s="436"/>
      <c r="J64" s="430" t="s">
        <v>2</v>
      </c>
      <c r="K64" s="425"/>
      <c r="L64" s="470"/>
      <c r="M64" s="420"/>
      <c r="N64" s="514"/>
      <c r="O64" s="420"/>
      <c r="P64" s="515"/>
      <c r="Q64" s="420"/>
      <c r="R64" s="425"/>
      <c r="S64" s="516"/>
      <c r="T64" s="420"/>
      <c r="U64" s="515"/>
      <c r="V64" s="420"/>
      <c r="W64" s="425"/>
      <c r="X64" s="515"/>
      <c r="Y64" s="420"/>
      <c r="Z64" s="515"/>
      <c r="AA64" s="420"/>
      <c r="AB64" s="425"/>
      <c r="AC64" s="517"/>
      <c r="AD64" s="432"/>
      <c r="AE64" s="388"/>
      <c r="AF64" s="514"/>
      <c r="AG64" s="420"/>
      <c r="AH64" s="515"/>
      <c r="AI64" s="420"/>
      <c r="AJ64" s="425"/>
      <c r="AK64" s="516"/>
      <c r="AL64" s="420"/>
      <c r="AM64" s="515"/>
      <c r="AN64" s="420"/>
      <c r="AO64" s="425"/>
      <c r="AP64" s="515"/>
      <c r="AQ64" s="420"/>
      <c r="AR64" s="515"/>
      <c r="AS64" s="420"/>
      <c r="AT64" s="425"/>
      <c r="AU64" s="518"/>
      <c r="AV64" s="432"/>
      <c r="AX64" s="342"/>
      <c r="AY64" s="342"/>
      <c r="AZ64" s="342"/>
      <c r="BA64" s="342"/>
      <c r="BB64" s="342"/>
      <c r="BC64" s="342"/>
      <c r="BD64" s="342"/>
      <c r="BE64" s="342"/>
      <c r="BF64" s="342"/>
      <c r="BG64" s="342"/>
      <c r="BH64" s="342"/>
      <c r="BI64" s="342"/>
      <c r="BJ64" s="342"/>
    </row>
    <row r="65" spans="1:136"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8"/>
      <c r="W65" s="478"/>
      <c r="X65" s="478"/>
      <c r="Y65" s="478"/>
      <c r="Z65" s="478"/>
      <c r="AA65" s="478"/>
      <c r="AB65" s="478"/>
      <c r="AC65" s="478"/>
      <c r="AD65" s="479"/>
      <c r="AE65" s="440"/>
      <c r="AF65" s="444"/>
      <c r="AG65" s="445"/>
      <c r="AH65" s="445"/>
      <c r="AI65" s="445"/>
      <c r="AJ65" s="445"/>
      <c r="AK65" s="445"/>
      <c r="AL65" s="445"/>
      <c r="AM65" s="445"/>
      <c r="AN65" s="445"/>
      <c r="AO65" s="445"/>
      <c r="AP65" s="445"/>
      <c r="AQ65" s="445"/>
      <c r="AR65" s="445"/>
      <c r="AS65" s="445"/>
      <c r="AT65" s="445"/>
      <c r="AU65" s="445"/>
      <c r="AV65" s="446"/>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c r="DQ65" s="388"/>
      <c r="DR65" s="388"/>
      <c r="DS65" s="388"/>
      <c r="DT65" s="388"/>
      <c r="DU65" s="388"/>
      <c r="DV65" s="388"/>
      <c r="DW65" s="388"/>
      <c r="DX65" s="388"/>
      <c r="DY65" s="388"/>
      <c r="DZ65" s="388"/>
      <c r="EA65" s="388"/>
      <c r="EB65" s="388"/>
      <c r="EC65" s="388"/>
      <c r="ED65" s="388"/>
      <c r="EE65" s="388"/>
      <c r="EF65" s="388"/>
    </row>
    <row r="66" spans="1:136" ht="21.75" customHeight="1" thickBot="1" x14ac:dyDescent="0.3">
      <c r="A66" s="440"/>
      <c r="B66" s="508" t="str">
        <f>GENERALITES!$B$48</f>
        <v>Autre énergie</v>
      </c>
      <c r="C66" s="509"/>
      <c r="D66" s="509"/>
      <c r="E66" s="509"/>
      <c r="F66" s="509"/>
      <c r="G66" s="509"/>
      <c r="H66" s="510"/>
      <c r="I66" s="342"/>
      <c r="J66" s="342"/>
      <c r="K66" s="342"/>
      <c r="L66" s="342"/>
      <c r="M66" s="342"/>
      <c r="N66" s="342"/>
      <c r="O66" s="342"/>
      <c r="P66" s="342"/>
      <c r="Q66" s="342"/>
      <c r="R66" s="342"/>
      <c r="S66" s="342"/>
      <c r="T66" s="342"/>
      <c r="U66" s="342"/>
      <c r="V66" s="342"/>
      <c r="W66" s="342"/>
      <c r="X66" s="342"/>
      <c r="Y66" s="342"/>
      <c r="Z66" s="342"/>
      <c r="AA66" s="342"/>
      <c r="AB66" s="342"/>
      <c r="AC66" s="342"/>
      <c r="AD66" s="342"/>
      <c r="AE66" s="440"/>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t="s">
        <v>40</v>
      </c>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c r="DQ66" s="388"/>
      <c r="DR66" s="388"/>
      <c r="DS66" s="388"/>
      <c r="DT66" s="388"/>
      <c r="DU66" s="388"/>
      <c r="DV66" s="388"/>
      <c r="DW66" s="388"/>
      <c r="DX66" s="388"/>
      <c r="DY66" s="388"/>
      <c r="DZ66" s="388"/>
      <c r="EA66" s="388"/>
      <c r="EB66" s="388"/>
      <c r="EC66" s="388"/>
      <c r="ED66" s="388"/>
      <c r="EE66" s="388"/>
      <c r="EF66" s="388"/>
    </row>
    <row r="67" spans="1:136"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3"/>
      <c r="W67" s="413"/>
      <c r="X67" s="413"/>
      <c r="Y67" s="413"/>
      <c r="Z67" s="413"/>
      <c r="AA67" s="413"/>
      <c r="AB67" s="413"/>
      <c r="AC67" s="413"/>
      <c r="AD67" s="414"/>
      <c r="AF67" s="412"/>
      <c r="AG67" s="413"/>
      <c r="AH67" s="413"/>
      <c r="AI67" s="413"/>
      <c r="AJ67" s="413"/>
      <c r="AK67" s="413"/>
      <c r="AL67" s="413"/>
      <c r="AM67" s="413"/>
      <c r="AN67" s="413"/>
      <c r="AO67" s="413"/>
      <c r="AP67" s="413"/>
      <c r="AQ67" s="413"/>
      <c r="AR67" s="413"/>
      <c r="AS67" s="413"/>
      <c r="AT67" s="413"/>
      <c r="AU67" s="413"/>
      <c r="AV67" s="414"/>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c r="DQ67" s="388"/>
      <c r="DR67" s="388"/>
      <c r="DS67" s="388"/>
      <c r="DT67" s="388"/>
      <c r="DU67" s="388"/>
      <c r="DV67" s="388"/>
      <c r="DW67" s="388"/>
      <c r="DX67" s="388"/>
      <c r="DY67" s="388"/>
      <c r="DZ67" s="388"/>
      <c r="EA67" s="388"/>
      <c r="EB67" s="388"/>
      <c r="EC67" s="388"/>
      <c r="ED67" s="388"/>
      <c r="EE67" s="388"/>
      <c r="EF67" s="388"/>
    </row>
    <row r="68" spans="1:136" ht="15" customHeight="1"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289"/>
      <c r="W68" s="289"/>
      <c r="X68" s="289"/>
      <c r="Y68" s="289"/>
      <c r="Z68" s="289"/>
      <c r="AA68" s="289"/>
      <c r="AB68" s="289"/>
      <c r="AC68" s="289"/>
      <c r="AD68" s="419"/>
      <c r="AE68" s="388"/>
      <c r="AF68" s="418" t="s">
        <v>68</v>
      </c>
      <c r="AG68" s="289"/>
      <c r="AH68" s="289"/>
      <c r="AI68" s="289"/>
      <c r="AJ68" s="289"/>
      <c r="AK68" s="289"/>
      <c r="AL68" s="289"/>
      <c r="AM68" s="289"/>
      <c r="AN68" s="289"/>
      <c r="AO68" s="289"/>
      <c r="AP68" s="289"/>
      <c r="AQ68" s="289"/>
      <c r="AR68" s="289"/>
      <c r="AS68" s="289"/>
      <c r="AT68" s="289"/>
      <c r="AU68" s="289"/>
      <c r="AV68" s="419"/>
      <c r="AW68" s="388"/>
      <c r="AX68" s="342"/>
      <c r="AY68" s="342"/>
      <c r="AZ68" s="342"/>
      <c r="BA68" s="342"/>
      <c r="BB68" s="342"/>
      <c r="BC68" s="342"/>
      <c r="BD68" s="342"/>
      <c r="BE68" s="342"/>
      <c r="BF68" s="342"/>
      <c r="BG68" s="342"/>
      <c r="BH68" s="342"/>
      <c r="BI68" s="342"/>
      <c r="BJ68" s="342"/>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c r="DQ68" s="388"/>
      <c r="DR68" s="388"/>
      <c r="DS68" s="388"/>
      <c r="DT68" s="388"/>
      <c r="DU68" s="388"/>
      <c r="DV68" s="388"/>
      <c r="DW68" s="388"/>
      <c r="DX68" s="388"/>
      <c r="DY68" s="388"/>
      <c r="DZ68" s="388"/>
      <c r="EA68" s="388"/>
      <c r="EB68" s="388"/>
      <c r="EC68" s="388"/>
      <c r="ED68" s="388"/>
      <c r="EE68" s="388"/>
      <c r="EF68" s="388"/>
    </row>
    <row r="69" spans="1:136" ht="43.5" customHeight="1" outlineLevel="1" x14ac:dyDescent="0.25">
      <c r="A69" s="440"/>
      <c r="B69" s="464" t="s">
        <v>17</v>
      </c>
      <c r="C69" s="425"/>
      <c r="D69" s="425"/>
      <c r="E69" s="425"/>
      <c r="F69" s="425"/>
      <c r="G69" s="422" t="s">
        <v>330</v>
      </c>
      <c r="H69" s="270"/>
      <c r="I69" s="422" t="s">
        <v>331</v>
      </c>
      <c r="J69" s="447"/>
      <c r="K69" s="447"/>
      <c r="L69" s="401"/>
      <c r="M69" s="420"/>
      <c r="N69" s="269" t="s">
        <v>69</v>
      </c>
      <c r="O69" s="270"/>
      <c r="P69" s="422" t="s">
        <v>332</v>
      </c>
      <c r="Q69" s="270"/>
      <c r="R69" s="425"/>
      <c r="S69" s="422" t="s">
        <v>97</v>
      </c>
      <c r="T69" s="270"/>
      <c r="U69" s="422" t="s">
        <v>98</v>
      </c>
      <c r="V69" s="270"/>
      <c r="W69" s="425"/>
      <c r="X69" s="422" t="s">
        <v>333</v>
      </c>
      <c r="Y69" s="270"/>
      <c r="Z69" s="422" t="s">
        <v>334</v>
      </c>
      <c r="AA69" s="270"/>
      <c r="AB69" s="425"/>
      <c r="AC69" s="422" t="s">
        <v>335</v>
      </c>
      <c r="AD69" s="401"/>
      <c r="AE69" s="388"/>
      <c r="AF69" s="269" t="s">
        <v>68</v>
      </c>
      <c r="AG69" s="270"/>
      <c r="AH69" s="422" t="s">
        <v>336</v>
      </c>
      <c r="AI69" s="270"/>
      <c r="AJ69" s="425"/>
      <c r="AK69" s="422" t="s">
        <v>99</v>
      </c>
      <c r="AL69" s="270"/>
      <c r="AM69" s="422" t="s">
        <v>100</v>
      </c>
      <c r="AN69" s="270"/>
      <c r="AO69" s="425"/>
      <c r="AP69" s="422" t="s">
        <v>337</v>
      </c>
      <c r="AQ69" s="270"/>
      <c r="AR69" s="422" t="s">
        <v>338</v>
      </c>
      <c r="AS69" s="270"/>
      <c r="AT69" s="425"/>
      <c r="AU69" s="422" t="s">
        <v>339</v>
      </c>
      <c r="AV69" s="401"/>
      <c r="AW69" s="388"/>
      <c r="AX69" s="342"/>
      <c r="AY69" s="342"/>
      <c r="AZ69" s="342"/>
      <c r="BA69" s="342"/>
      <c r="BB69" s="342"/>
      <c r="BC69" s="342"/>
      <c r="BD69" s="342"/>
      <c r="BE69" s="342"/>
      <c r="BF69" s="342"/>
      <c r="BG69" s="342"/>
      <c r="BH69" s="342"/>
      <c r="BI69" s="342"/>
      <c r="BJ69" s="342"/>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c r="DQ69" s="388"/>
      <c r="DR69" s="388"/>
      <c r="DS69" s="388"/>
      <c r="DT69" s="388"/>
      <c r="DU69" s="388"/>
      <c r="DV69" s="388"/>
      <c r="DW69" s="388"/>
      <c r="DX69" s="388"/>
      <c r="DY69" s="388"/>
      <c r="DZ69" s="388"/>
      <c r="EA69" s="388"/>
      <c r="EB69" s="388"/>
      <c r="EC69" s="388"/>
      <c r="ED69" s="388"/>
      <c r="EE69" s="388"/>
      <c r="EF69" s="388"/>
    </row>
    <row r="70" spans="1:136" outlineLevel="1" x14ac:dyDescent="0.25">
      <c r="A70" s="440"/>
      <c r="B70" s="435" t="s">
        <v>18</v>
      </c>
      <c r="C70" s="425"/>
      <c r="D70" s="425"/>
      <c r="E70" s="425"/>
      <c r="F70" s="425"/>
      <c r="G70" s="469"/>
      <c r="H70" s="427">
        <f>GENERALITES!$D$15</f>
        <v>0</v>
      </c>
      <c r="I70" s="485">
        <f>$N$10</f>
        <v>10.080935251798561</v>
      </c>
      <c r="J70" s="449" t="s">
        <v>2</v>
      </c>
      <c r="K70" s="302">
        <f>IF(B70=Annexes!$B$3,G70*I70/100,SUMPRODUCT(G73:G76,I73:I76/100))</f>
        <v>0</v>
      </c>
      <c r="L70" s="428">
        <f>GENERALITES!$D$15</f>
        <v>0</v>
      </c>
      <c r="M70" s="420"/>
      <c r="N70" s="437">
        <f>GENERALITES!$D$48</f>
        <v>0</v>
      </c>
      <c r="O70" s="427" t="str">
        <f>GENERALITES!$E$48</f>
        <v xml:space="preserve">€ / </v>
      </c>
      <c r="P70" s="302">
        <f>IF(B70=Annexes!$B$3,G70*N70,SUM(G73:G76)*N70)</f>
        <v>0</v>
      </c>
      <c r="Q70" s="427" t="s">
        <v>6</v>
      </c>
      <c r="R70" s="425"/>
      <c r="S70" s="302">
        <f>'ETAPE 3'!Z70</f>
        <v>0</v>
      </c>
      <c r="T70" s="520" t="s">
        <v>72</v>
      </c>
      <c r="U70" s="448">
        <f>S70*$B$10</f>
        <v>0</v>
      </c>
      <c r="V70" s="427" t="s">
        <v>6</v>
      </c>
      <c r="W70" s="425"/>
      <c r="X70" s="302">
        <f>P70+U70</f>
        <v>0</v>
      </c>
      <c r="Y70" s="427" t="s">
        <v>6</v>
      </c>
      <c r="Z70" s="302">
        <f>IF($E$10&lt;&gt;0,X70/$E$10,0)</f>
        <v>0</v>
      </c>
      <c r="AA70" s="427" t="s">
        <v>72</v>
      </c>
      <c r="AB70" s="425"/>
      <c r="AC70" s="302">
        <f>$N$10/100*U70+IF(B70=Annexes!$B$3,I70/100*P70,IF(SUM(G73:G76)&gt;0,K70/SUM(G73:G76)*P70,0))</f>
        <v>0</v>
      </c>
      <c r="AD70" s="428" t="s">
        <v>6</v>
      </c>
      <c r="AE70" s="388"/>
      <c r="AF70" s="437">
        <f>GENERALITES!$M$48</f>
        <v>0</v>
      </c>
      <c r="AG70" s="427" t="str">
        <f>GENERALITES!$N$48</f>
        <v xml:space="preserve">TCO2 / </v>
      </c>
      <c r="AH70" s="302">
        <f>IF(B70=Annexes!$B$3,G70*AF70,SUM(G73:G76)*AF70)</f>
        <v>0</v>
      </c>
      <c r="AI70" s="427" t="s">
        <v>21</v>
      </c>
      <c r="AJ70" s="425"/>
      <c r="AK70" s="302">
        <f>'ETAPE 3'!AR70</f>
        <v>0</v>
      </c>
      <c r="AL70" s="427" t="s">
        <v>73</v>
      </c>
      <c r="AM70" s="448">
        <f>AK70*$B$10</f>
        <v>0</v>
      </c>
      <c r="AN70" s="427" t="s">
        <v>21</v>
      </c>
      <c r="AO70" s="425"/>
      <c r="AP70" s="302">
        <f>AH70+AM70</f>
        <v>0</v>
      </c>
      <c r="AQ70" s="427" t="s">
        <v>21</v>
      </c>
      <c r="AR70" s="302">
        <f>IF($E$10&lt;&gt;0,AP70/$E$10,0)</f>
        <v>0</v>
      </c>
      <c r="AS70" s="427" t="s">
        <v>73</v>
      </c>
      <c r="AT70" s="425"/>
      <c r="AU70" s="302">
        <f>$N$10/100*AM70+IF(B70=Annexes!$B$3,I70/100*AH70,IF(SUM(G73:G76)&gt;0,K70/SUM(G73:G76)*AH70,0))</f>
        <v>0</v>
      </c>
      <c r="AV70" s="428" t="s">
        <v>21</v>
      </c>
      <c r="AW70" s="388"/>
      <c r="AX70" s="342"/>
      <c r="AY70" s="342"/>
      <c r="AZ70" s="342"/>
      <c r="BA70" s="342"/>
      <c r="BB70" s="342"/>
      <c r="BC70" s="342"/>
      <c r="BD70" s="342"/>
      <c r="BE70" s="342"/>
      <c r="BF70" s="342"/>
      <c r="BG70" s="342"/>
      <c r="BH70" s="342"/>
      <c r="BI70" s="342"/>
      <c r="BJ70" s="342"/>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c r="DQ70" s="388"/>
      <c r="DR70" s="388"/>
      <c r="DS70" s="388"/>
      <c r="DT70" s="388"/>
      <c r="DU70" s="388"/>
      <c r="DV70" s="388"/>
      <c r="DW70" s="388"/>
      <c r="DX70" s="388"/>
      <c r="DY70" s="388"/>
      <c r="DZ70" s="388"/>
      <c r="EA70" s="388"/>
      <c r="EB70" s="388"/>
      <c r="EC70" s="388"/>
      <c r="ED70" s="388"/>
      <c r="EE70" s="388"/>
      <c r="EF70" s="388"/>
    </row>
    <row r="71" spans="1:136" outlineLevel="1" x14ac:dyDescent="0.25">
      <c r="A71" s="440"/>
      <c r="B71" s="431"/>
      <c r="C71" s="425"/>
      <c r="D71" s="425"/>
      <c r="E71" s="425"/>
      <c r="F71" s="425"/>
      <c r="G71" s="420"/>
      <c r="H71" s="420"/>
      <c r="I71" s="420"/>
      <c r="J71" s="420"/>
      <c r="K71" s="420"/>
      <c r="L71" s="432"/>
      <c r="M71" s="420"/>
      <c r="N71" s="514"/>
      <c r="O71" s="420"/>
      <c r="P71" s="515"/>
      <c r="Q71" s="420"/>
      <c r="R71" s="425"/>
      <c r="S71" s="516"/>
      <c r="T71" s="420"/>
      <c r="U71" s="515"/>
      <c r="V71" s="420"/>
      <c r="W71" s="425"/>
      <c r="X71" s="515"/>
      <c r="Y71" s="420"/>
      <c r="Z71" s="515"/>
      <c r="AA71" s="420"/>
      <c r="AB71" s="425"/>
      <c r="AC71" s="517"/>
      <c r="AD71" s="432"/>
      <c r="AE71" s="388"/>
      <c r="AF71" s="514"/>
      <c r="AG71" s="420"/>
      <c r="AH71" s="515"/>
      <c r="AI71" s="420"/>
      <c r="AJ71" s="425"/>
      <c r="AK71" s="516"/>
      <c r="AL71" s="420"/>
      <c r="AM71" s="515"/>
      <c r="AN71" s="420"/>
      <c r="AO71" s="425"/>
      <c r="AP71" s="515"/>
      <c r="AQ71" s="420"/>
      <c r="AR71" s="515"/>
      <c r="AS71" s="420"/>
      <c r="AT71" s="425"/>
      <c r="AU71" s="518"/>
      <c r="AV71" s="432"/>
      <c r="AW71" s="388"/>
      <c r="AX71" s="342"/>
      <c r="AY71" s="342"/>
      <c r="AZ71" s="342"/>
      <c r="BA71" s="342"/>
      <c r="BB71" s="342"/>
      <c r="BC71" s="342"/>
      <c r="BD71" s="342"/>
      <c r="BE71" s="342"/>
      <c r="BF71" s="342"/>
      <c r="BG71" s="342"/>
      <c r="BH71" s="342"/>
      <c r="BI71" s="342"/>
      <c r="BJ71" s="342"/>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c r="DQ71" s="388"/>
      <c r="DR71" s="388"/>
      <c r="DS71" s="388"/>
      <c r="DT71" s="388"/>
      <c r="DU71" s="388"/>
      <c r="DV71" s="388"/>
      <c r="DW71" s="388"/>
      <c r="DX71" s="388"/>
      <c r="DY71" s="388"/>
      <c r="DZ71" s="388"/>
      <c r="EA71" s="388"/>
      <c r="EB71" s="388"/>
      <c r="EC71" s="388"/>
      <c r="ED71" s="388"/>
      <c r="EE71" s="388"/>
      <c r="EF71" s="388"/>
    </row>
    <row r="72" spans="1:136" outlineLevel="1" x14ac:dyDescent="0.25">
      <c r="A72" s="440"/>
      <c r="B72" s="464" t="s">
        <v>7</v>
      </c>
      <c r="C72" s="425"/>
      <c r="D72" s="425"/>
      <c r="E72" s="425"/>
      <c r="F72" s="425"/>
      <c r="G72" s="519"/>
      <c r="H72" s="519"/>
      <c r="I72" s="434"/>
      <c r="J72" s="434"/>
      <c r="K72" s="425"/>
      <c r="L72" s="470"/>
      <c r="M72" s="420"/>
      <c r="N72" s="514"/>
      <c r="O72" s="420"/>
      <c r="P72" s="515"/>
      <c r="Q72" s="420"/>
      <c r="R72" s="425"/>
      <c r="S72" s="516"/>
      <c r="T72" s="420"/>
      <c r="U72" s="515"/>
      <c r="V72" s="420"/>
      <c r="W72" s="425"/>
      <c r="X72" s="515"/>
      <c r="Y72" s="420"/>
      <c r="Z72" s="515"/>
      <c r="AA72" s="420"/>
      <c r="AB72" s="425"/>
      <c r="AC72" s="517"/>
      <c r="AD72" s="432"/>
      <c r="AE72" s="388"/>
      <c r="AF72" s="514"/>
      <c r="AG72" s="420"/>
      <c r="AH72" s="515"/>
      <c r="AI72" s="420"/>
      <c r="AJ72" s="425"/>
      <c r="AK72" s="516"/>
      <c r="AL72" s="420"/>
      <c r="AM72" s="515"/>
      <c r="AN72" s="420"/>
      <c r="AO72" s="425"/>
      <c r="AP72" s="515"/>
      <c r="AQ72" s="420"/>
      <c r="AR72" s="515"/>
      <c r="AS72" s="420"/>
      <c r="AT72" s="425"/>
      <c r="AU72" s="518"/>
      <c r="AV72" s="432"/>
      <c r="AW72" s="388"/>
      <c r="AX72" s="342"/>
      <c r="AY72" s="342"/>
      <c r="AZ72" s="342"/>
      <c r="BA72" s="342"/>
      <c r="BB72" s="342"/>
      <c r="BC72" s="342"/>
      <c r="BD72" s="342"/>
      <c r="BE72" s="342"/>
      <c r="BF72" s="342"/>
      <c r="BG72" s="342"/>
      <c r="BH72" s="342"/>
      <c r="BI72" s="342"/>
      <c r="BJ72" s="342"/>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c r="DQ72" s="388"/>
      <c r="DR72" s="388"/>
      <c r="DS72" s="388"/>
      <c r="DT72" s="388"/>
      <c r="DU72" s="388"/>
      <c r="DV72" s="388"/>
      <c r="DW72" s="388"/>
      <c r="DX72" s="388"/>
      <c r="DY72" s="388"/>
      <c r="DZ72" s="388"/>
      <c r="EA72" s="388"/>
      <c r="EB72" s="388"/>
      <c r="EC72" s="388"/>
      <c r="ED72" s="388"/>
      <c r="EE72" s="388"/>
      <c r="EF72" s="388"/>
    </row>
    <row r="73" spans="1:136" outlineLevel="1" x14ac:dyDescent="0.25">
      <c r="A73" s="440"/>
      <c r="B73" s="472"/>
      <c r="C73" s="425"/>
      <c r="D73" s="425"/>
      <c r="E73" s="425"/>
      <c r="F73" s="425"/>
      <c r="G73" s="473"/>
      <c r="H73" s="427">
        <f>GENERALITES!$D$15</f>
        <v>0</v>
      </c>
      <c r="I73" s="436"/>
      <c r="J73" s="430" t="s">
        <v>2</v>
      </c>
      <c r="K73" s="425"/>
      <c r="L73" s="470"/>
      <c r="M73" s="420"/>
      <c r="N73" s="514"/>
      <c r="O73" s="420"/>
      <c r="P73" s="515"/>
      <c r="Q73" s="420"/>
      <c r="R73" s="425"/>
      <c r="S73" s="516"/>
      <c r="T73" s="420"/>
      <c r="U73" s="515"/>
      <c r="V73" s="420"/>
      <c r="W73" s="425"/>
      <c r="X73" s="515"/>
      <c r="Y73" s="420"/>
      <c r="Z73" s="515"/>
      <c r="AA73" s="420"/>
      <c r="AB73" s="425"/>
      <c r="AC73" s="517"/>
      <c r="AD73" s="432"/>
      <c r="AE73" s="388"/>
      <c r="AF73" s="514"/>
      <c r="AG73" s="420"/>
      <c r="AH73" s="515"/>
      <c r="AI73" s="420"/>
      <c r="AJ73" s="425"/>
      <c r="AK73" s="516"/>
      <c r="AL73" s="420"/>
      <c r="AM73" s="515"/>
      <c r="AN73" s="420"/>
      <c r="AO73" s="425"/>
      <c r="AP73" s="515"/>
      <c r="AQ73" s="420"/>
      <c r="AR73" s="515"/>
      <c r="AS73" s="420"/>
      <c r="AT73" s="425"/>
      <c r="AU73" s="518"/>
      <c r="AV73" s="432"/>
      <c r="AW73" s="388"/>
      <c r="AX73" s="342"/>
      <c r="AY73" s="342"/>
      <c r="AZ73" s="342"/>
      <c r="BA73" s="342"/>
      <c r="BB73" s="342"/>
      <c r="BC73" s="342"/>
      <c r="BD73" s="342"/>
      <c r="BE73" s="342"/>
      <c r="BF73" s="342"/>
      <c r="BG73" s="342"/>
      <c r="BH73" s="342"/>
      <c r="BI73" s="342"/>
      <c r="BJ73" s="342"/>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c r="DQ73" s="388"/>
      <c r="DR73" s="388"/>
      <c r="DS73" s="388"/>
      <c r="DT73" s="388"/>
      <c r="DU73" s="388"/>
      <c r="DV73" s="388"/>
      <c r="DW73" s="388"/>
      <c r="DX73" s="388"/>
      <c r="DY73" s="388"/>
      <c r="DZ73" s="388"/>
      <c r="EA73" s="388"/>
      <c r="EB73" s="388"/>
      <c r="EC73" s="388"/>
      <c r="ED73" s="388"/>
      <c r="EE73" s="388"/>
      <c r="EF73" s="388"/>
    </row>
    <row r="74" spans="1:136" outlineLevel="1" x14ac:dyDescent="0.25">
      <c r="A74" s="440"/>
      <c r="B74" s="472"/>
      <c r="C74" s="425"/>
      <c r="D74" s="425"/>
      <c r="E74" s="425"/>
      <c r="F74" s="425"/>
      <c r="G74" s="473"/>
      <c r="H74" s="427">
        <f>GENERALITES!$D$15</f>
        <v>0</v>
      </c>
      <c r="I74" s="436"/>
      <c r="J74" s="430" t="s">
        <v>2</v>
      </c>
      <c r="K74" s="425"/>
      <c r="L74" s="470"/>
      <c r="M74" s="420"/>
      <c r="N74" s="514"/>
      <c r="O74" s="420"/>
      <c r="P74" s="515"/>
      <c r="Q74" s="420"/>
      <c r="R74" s="425"/>
      <c r="S74" s="516"/>
      <c r="T74" s="420"/>
      <c r="U74" s="515"/>
      <c r="V74" s="420"/>
      <c r="W74" s="425"/>
      <c r="X74" s="515"/>
      <c r="Y74" s="420"/>
      <c r="Z74" s="515"/>
      <c r="AA74" s="420"/>
      <c r="AB74" s="425"/>
      <c r="AC74" s="517"/>
      <c r="AD74" s="432"/>
      <c r="AE74" s="388"/>
      <c r="AF74" s="514"/>
      <c r="AG74" s="420"/>
      <c r="AH74" s="515"/>
      <c r="AI74" s="420"/>
      <c r="AJ74" s="425"/>
      <c r="AK74" s="516"/>
      <c r="AL74" s="420"/>
      <c r="AM74" s="515"/>
      <c r="AN74" s="420"/>
      <c r="AO74" s="425"/>
      <c r="AP74" s="515"/>
      <c r="AQ74" s="420"/>
      <c r="AR74" s="515"/>
      <c r="AS74" s="420"/>
      <c r="AT74" s="425"/>
      <c r="AU74" s="518"/>
      <c r="AV74" s="432"/>
      <c r="AW74" s="388"/>
      <c r="AX74" s="342"/>
      <c r="AY74" s="342"/>
      <c r="AZ74" s="342"/>
      <c r="BA74" s="342"/>
      <c r="BB74" s="342"/>
      <c r="BC74" s="342"/>
      <c r="BD74" s="342"/>
      <c r="BE74" s="342"/>
      <c r="BF74" s="342"/>
      <c r="BG74" s="342"/>
      <c r="BH74" s="342"/>
      <c r="BI74" s="342"/>
      <c r="BJ74" s="342"/>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c r="DQ74" s="388"/>
      <c r="DR74" s="388"/>
      <c r="DS74" s="388"/>
      <c r="DT74" s="388"/>
      <c r="DU74" s="388"/>
      <c r="DV74" s="388"/>
      <c r="DW74" s="388"/>
      <c r="DX74" s="388"/>
      <c r="DY74" s="388"/>
      <c r="DZ74" s="388"/>
      <c r="EA74" s="388"/>
      <c r="EB74" s="388"/>
      <c r="EC74" s="388"/>
      <c r="ED74" s="388"/>
      <c r="EE74" s="388"/>
      <c r="EF74" s="388"/>
    </row>
    <row r="75" spans="1:136" outlineLevel="1" x14ac:dyDescent="0.25">
      <c r="A75" s="440"/>
      <c r="B75" s="472"/>
      <c r="C75" s="425"/>
      <c r="D75" s="425"/>
      <c r="E75" s="425"/>
      <c r="F75" s="425"/>
      <c r="G75" s="473"/>
      <c r="H75" s="427">
        <f>GENERALITES!$D$15</f>
        <v>0</v>
      </c>
      <c r="I75" s="436"/>
      <c r="J75" s="430" t="s">
        <v>2</v>
      </c>
      <c r="K75" s="425"/>
      <c r="L75" s="470"/>
      <c r="M75" s="420"/>
      <c r="N75" s="514"/>
      <c r="O75" s="420"/>
      <c r="P75" s="515"/>
      <c r="Q75" s="420"/>
      <c r="R75" s="425"/>
      <c r="S75" s="516"/>
      <c r="T75" s="420"/>
      <c r="U75" s="515"/>
      <c r="V75" s="420"/>
      <c r="W75" s="425"/>
      <c r="X75" s="515"/>
      <c r="Y75" s="420"/>
      <c r="Z75" s="515"/>
      <c r="AA75" s="420"/>
      <c r="AB75" s="425"/>
      <c r="AC75" s="517"/>
      <c r="AD75" s="432"/>
      <c r="AE75" s="388"/>
      <c r="AF75" s="514"/>
      <c r="AG75" s="420"/>
      <c r="AH75" s="515"/>
      <c r="AI75" s="420"/>
      <c r="AJ75" s="425"/>
      <c r="AK75" s="516"/>
      <c r="AL75" s="420"/>
      <c r="AM75" s="515"/>
      <c r="AN75" s="420"/>
      <c r="AO75" s="425"/>
      <c r="AP75" s="515"/>
      <c r="AQ75" s="420"/>
      <c r="AR75" s="515"/>
      <c r="AS75" s="420"/>
      <c r="AT75" s="425"/>
      <c r="AU75" s="518"/>
      <c r="AV75" s="432"/>
      <c r="AW75" s="388"/>
      <c r="AX75" s="342"/>
      <c r="AY75" s="342"/>
      <c r="AZ75" s="342"/>
      <c r="BA75" s="342"/>
      <c r="BB75" s="342"/>
      <c r="BC75" s="342"/>
      <c r="BD75" s="342"/>
      <c r="BE75" s="342"/>
      <c r="BF75" s="342"/>
      <c r="BG75" s="342"/>
      <c r="BH75" s="342"/>
      <c r="BI75" s="342"/>
      <c r="BJ75" s="342"/>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c r="DQ75" s="388"/>
      <c r="DR75" s="388"/>
      <c r="DS75" s="388"/>
      <c r="DT75" s="388"/>
      <c r="DU75" s="388"/>
      <c r="DV75" s="388"/>
      <c r="DW75" s="388"/>
      <c r="DX75" s="388"/>
      <c r="DY75" s="388"/>
      <c r="DZ75" s="388"/>
      <c r="EA75" s="388"/>
      <c r="EB75" s="388"/>
      <c r="EC75" s="388"/>
      <c r="ED75" s="388"/>
      <c r="EE75" s="388"/>
      <c r="EF75" s="388"/>
    </row>
    <row r="76" spans="1:136" outlineLevel="1" x14ac:dyDescent="0.25">
      <c r="A76" s="440"/>
      <c r="B76" s="472"/>
      <c r="C76" s="425"/>
      <c r="D76" s="425"/>
      <c r="E76" s="425"/>
      <c r="F76" s="425"/>
      <c r="G76" s="473"/>
      <c r="H76" s="427">
        <f>GENERALITES!$D$15</f>
        <v>0</v>
      </c>
      <c r="I76" s="436"/>
      <c r="J76" s="430" t="s">
        <v>2</v>
      </c>
      <c r="K76" s="425"/>
      <c r="L76" s="470"/>
      <c r="M76" s="420"/>
      <c r="N76" s="514"/>
      <c r="O76" s="420"/>
      <c r="P76" s="515"/>
      <c r="Q76" s="420"/>
      <c r="R76" s="425"/>
      <c r="S76" s="516"/>
      <c r="T76" s="420"/>
      <c r="U76" s="515"/>
      <c r="V76" s="420"/>
      <c r="W76" s="425"/>
      <c r="X76" s="515"/>
      <c r="Y76" s="420"/>
      <c r="Z76" s="515"/>
      <c r="AA76" s="420"/>
      <c r="AB76" s="425"/>
      <c r="AC76" s="517"/>
      <c r="AD76" s="432"/>
      <c r="AE76" s="388"/>
      <c r="AF76" s="514"/>
      <c r="AG76" s="420"/>
      <c r="AH76" s="515"/>
      <c r="AI76" s="420"/>
      <c r="AJ76" s="425"/>
      <c r="AK76" s="516"/>
      <c r="AL76" s="420"/>
      <c r="AM76" s="515"/>
      <c r="AN76" s="420"/>
      <c r="AO76" s="425"/>
      <c r="AP76" s="515"/>
      <c r="AQ76" s="420"/>
      <c r="AR76" s="515"/>
      <c r="AS76" s="420"/>
      <c r="AT76" s="425"/>
      <c r="AU76" s="518"/>
      <c r="AV76" s="432"/>
      <c r="AW76" s="388"/>
      <c r="AX76" s="342"/>
      <c r="AY76" s="342"/>
      <c r="AZ76" s="342"/>
      <c r="BA76" s="342"/>
      <c r="BB76" s="342"/>
      <c r="BC76" s="342"/>
      <c r="BD76" s="342"/>
      <c r="BE76" s="342"/>
      <c r="BF76" s="342"/>
      <c r="BG76" s="342"/>
      <c r="BH76" s="342"/>
      <c r="BI76" s="342"/>
      <c r="BJ76" s="342"/>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c r="EA76" s="388"/>
      <c r="EB76" s="388"/>
      <c r="EC76" s="388"/>
      <c r="ED76" s="388"/>
      <c r="EE76" s="388"/>
      <c r="EF76" s="388"/>
    </row>
    <row r="77" spans="1:136"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8"/>
      <c r="W77" s="478"/>
      <c r="X77" s="478"/>
      <c r="Y77" s="478"/>
      <c r="Z77" s="478"/>
      <c r="AA77" s="478"/>
      <c r="AB77" s="478"/>
      <c r="AC77" s="478"/>
      <c r="AD77" s="479"/>
      <c r="AE77" s="440"/>
      <c r="AF77" s="444"/>
      <c r="AG77" s="445"/>
      <c r="AH77" s="445"/>
      <c r="AI77" s="445"/>
      <c r="AJ77" s="445"/>
      <c r="AK77" s="445"/>
      <c r="AL77" s="445"/>
      <c r="AM77" s="445"/>
      <c r="AN77" s="445"/>
      <c r="AO77" s="445"/>
      <c r="AP77" s="445"/>
      <c r="AQ77" s="445"/>
      <c r="AR77" s="445"/>
      <c r="AS77" s="445"/>
      <c r="AT77" s="445"/>
      <c r="AU77" s="445"/>
      <c r="AV77" s="446"/>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c r="DQ77" s="388"/>
      <c r="DR77" s="388"/>
      <c r="DS77" s="388"/>
      <c r="DT77" s="388"/>
      <c r="DU77" s="388"/>
      <c r="DV77" s="388"/>
      <c r="DW77" s="388"/>
      <c r="DX77" s="388"/>
      <c r="DY77" s="388"/>
      <c r="DZ77" s="388"/>
      <c r="EA77" s="388"/>
      <c r="EB77" s="388"/>
      <c r="EC77" s="388"/>
      <c r="ED77" s="388"/>
      <c r="EE77" s="388"/>
      <c r="EF77" s="388"/>
    </row>
    <row r="78" spans="1:136" ht="21.75" customHeight="1" thickBot="1" x14ac:dyDescent="0.3">
      <c r="A78" s="440"/>
      <c r="B78" s="508" t="s">
        <v>29</v>
      </c>
      <c r="C78" s="509"/>
      <c r="D78" s="509"/>
      <c r="E78" s="509"/>
      <c r="F78" s="509"/>
      <c r="G78" s="509"/>
      <c r="H78" s="510"/>
      <c r="I78" s="342"/>
      <c r="J78" s="342"/>
      <c r="K78" s="342"/>
      <c r="L78" s="342"/>
      <c r="M78" s="342"/>
      <c r="N78" s="342"/>
      <c r="O78" s="342"/>
      <c r="P78" s="342"/>
      <c r="Q78" s="342"/>
      <c r="R78" s="342"/>
      <c r="S78" s="342"/>
      <c r="T78" s="342"/>
      <c r="U78" s="342"/>
      <c r="V78" s="342"/>
      <c r="W78" s="342"/>
      <c r="X78" s="342"/>
      <c r="Y78" s="342"/>
      <c r="Z78" s="342"/>
      <c r="AA78" s="342"/>
      <c r="AB78" s="342"/>
      <c r="AC78" s="342"/>
      <c r="AD78" s="342"/>
      <c r="AE78" s="440"/>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row>
    <row r="79" spans="1:136" outlineLevel="1" x14ac:dyDescent="0.25">
      <c r="B79" s="412"/>
      <c r="C79" s="413"/>
      <c r="D79" s="413"/>
      <c r="E79" s="413"/>
      <c r="F79" s="413"/>
      <c r="G79" s="413"/>
      <c r="H79" s="413"/>
      <c r="I79" s="413"/>
      <c r="J79" s="413"/>
      <c r="K79" s="413"/>
      <c r="L79" s="414"/>
      <c r="N79" s="412"/>
      <c r="O79" s="413"/>
      <c r="P79" s="413"/>
      <c r="Q79" s="413"/>
      <c r="R79" s="413"/>
      <c r="S79" s="413"/>
      <c r="T79" s="413"/>
      <c r="U79" s="413"/>
      <c r="V79" s="413"/>
      <c r="W79" s="413"/>
      <c r="X79" s="413"/>
      <c r="Y79" s="413"/>
      <c r="Z79" s="413"/>
      <c r="AA79" s="413"/>
      <c r="AB79" s="413"/>
      <c r="AC79" s="413"/>
      <c r="AD79" s="414"/>
    </row>
    <row r="80" spans="1:136"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289"/>
      <c r="W80" s="289"/>
      <c r="X80" s="289"/>
      <c r="Y80" s="289"/>
      <c r="Z80" s="289"/>
      <c r="AA80" s="289"/>
      <c r="AB80" s="289"/>
      <c r="AC80" s="289"/>
      <c r="AD80" s="419"/>
      <c r="AE80" s="388"/>
      <c r="AF80" s="342"/>
      <c r="AG80" s="342"/>
      <c r="AH80" s="342"/>
      <c r="AI80" s="342"/>
      <c r="AJ80" s="342"/>
      <c r="AK80" s="342"/>
      <c r="AL80" s="342"/>
      <c r="AM80" s="342"/>
      <c r="AN80" s="342"/>
      <c r="AO80" s="342"/>
      <c r="AP80" s="342"/>
      <c r="AQ80" s="342"/>
      <c r="AR80" s="342"/>
      <c r="AS80" s="342"/>
      <c r="AT80" s="342"/>
      <c r="AU80" s="342"/>
      <c r="AV80" s="342"/>
      <c r="AX80" s="342"/>
      <c r="AY80" s="342"/>
      <c r="AZ80" s="342"/>
      <c r="BA80" s="342"/>
      <c r="BB80" s="342"/>
      <c r="BC80" s="342"/>
      <c r="BD80" s="342"/>
      <c r="BE80" s="342"/>
      <c r="BF80" s="342"/>
      <c r="BG80" s="342"/>
      <c r="BH80" s="342"/>
      <c r="BI80" s="342"/>
      <c r="BJ80" s="342"/>
    </row>
    <row r="81" spans="1:136" ht="43.5" customHeight="1" outlineLevel="1" x14ac:dyDescent="0.25">
      <c r="B81" s="464" t="s">
        <v>17</v>
      </c>
      <c r="C81" s="425"/>
      <c r="D81" s="425"/>
      <c r="E81" s="425"/>
      <c r="F81" s="425"/>
      <c r="G81" s="422" t="s">
        <v>340</v>
      </c>
      <c r="H81" s="270"/>
      <c r="I81" s="422" t="s">
        <v>341</v>
      </c>
      <c r="J81" s="447"/>
      <c r="K81" s="447"/>
      <c r="L81" s="401"/>
      <c r="M81" s="342"/>
      <c r="N81" s="269" t="s">
        <v>102</v>
      </c>
      <c r="O81" s="270"/>
      <c r="P81" s="422" t="s">
        <v>342</v>
      </c>
      <c r="Q81" s="270"/>
      <c r="R81" s="425"/>
      <c r="S81" s="422" t="s">
        <v>103</v>
      </c>
      <c r="T81" s="270"/>
      <c r="U81" s="422" t="s">
        <v>104</v>
      </c>
      <c r="V81" s="270"/>
      <c r="W81" s="425"/>
      <c r="X81" s="422" t="s">
        <v>343</v>
      </c>
      <c r="Y81" s="270"/>
      <c r="Z81" s="422" t="s">
        <v>344</v>
      </c>
      <c r="AA81" s="270"/>
      <c r="AB81" s="425"/>
      <c r="AC81" s="422" t="s">
        <v>345</v>
      </c>
      <c r="AD81" s="401"/>
      <c r="AE81" s="388"/>
      <c r="AF81" s="388"/>
      <c r="AG81" s="388"/>
      <c r="AH81" s="388"/>
      <c r="AI81" s="388"/>
      <c r="AJ81" s="388"/>
      <c r="AK81" s="388"/>
      <c r="AL81" s="388"/>
      <c r="AM81" s="388"/>
      <c r="AN81" s="388"/>
      <c r="AO81" s="388"/>
      <c r="AP81" s="388"/>
      <c r="AQ81" s="388"/>
      <c r="AR81" s="388"/>
      <c r="AS81" s="388"/>
      <c r="AT81" s="388"/>
      <c r="AU81" s="388"/>
      <c r="AV81" s="388"/>
      <c r="AX81" s="342"/>
      <c r="AY81" s="342"/>
      <c r="AZ81" s="342"/>
      <c r="BA81" s="342"/>
      <c r="BB81" s="342"/>
      <c r="BC81" s="342"/>
      <c r="BD81" s="342"/>
      <c r="BE81" s="342"/>
      <c r="BF81" s="342"/>
      <c r="BG81" s="342"/>
      <c r="BH81" s="342"/>
      <c r="BI81" s="342"/>
      <c r="BJ81" s="342"/>
    </row>
    <row r="82" spans="1:136" outlineLevel="1" x14ac:dyDescent="0.25">
      <c r="B82" s="435" t="s">
        <v>18</v>
      </c>
      <c r="C82" s="425"/>
      <c r="D82" s="425"/>
      <c r="E82" s="425"/>
      <c r="F82" s="425"/>
      <c r="G82" s="469">
        <v>50</v>
      </c>
      <c r="H82" s="427" t="str">
        <f>GENERALITES!$D$16</f>
        <v>L</v>
      </c>
      <c r="I82" s="485">
        <f>$N$10</f>
        <v>10.080935251798561</v>
      </c>
      <c r="J82" s="449" t="s">
        <v>2</v>
      </c>
      <c r="K82" s="302">
        <f>IF(B82=Annexes!$B$3,G82*I82/100,SUMPRODUCT(G85:G88,I85:I88/100))</f>
        <v>5.0404676258992804</v>
      </c>
      <c r="L82" s="428" t="str">
        <f>GENERALITES!$D$16</f>
        <v>L</v>
      </c>
      <c r="M82" s="342"/>
      <c r="N82" s="437">
        <f>GENERALITES!$D$49</f>
        <v>0.3</v>
      </c>
      <c r="O82" s="427" t="str">
        <f>GENERALITES!$E$49</f>
        <v>€ / L</v>
      </c>
      <c r="P82" s="302">
        <f>IF(B82=Annexes!$B$3,G82*N82,SUM(G85:G88)*N82)</f>
        <v>15</v>
      </c>
      <c r="Q82" s="427" t="s">
        <v>6</v>
      </c>
      <c r="R82" s="425"/>
      <c r="S82" s="302">
        <f>'ETAPE 3'!Z82</f>
        <v>53.382893748269993</v>
      </c>
      <c r="T82" s="427" t="s">
        <v>72</v>
      </c>
      <c r="U82" s="448">
        <f>S82*$B$10</f>
        <v>296.80888924038118</v>
      </c>
      <c r="V82" s="427" t="s">
        <v>6</v>
      </c>
      <c r="W82" s="425"/>
      <c r="X82" s="302">
        <f>P82+U82</f>
        <v>311.80888924038118</v>
      </c>
      <c r="Y82" s="427" t="s">
        <v>6</v>
      </c>
      <c r="Z82" s="302">
        <f>IF($E$10&lt;&gt;0,X82/$E$10,0)</f>
        <v>56.080735474888698</v>
      </c>
      <c r="AA82" s="427" t="s">
        <v>72</v>
      </c>
      <c r="AB82" s="425"/>
      <c r="AC82" s="302">
        <f>$N$10/100*U82+IF(B82=Annexes!$B$3,I82/100*P82,IF(SUM(G85:G88)&gt;0,K82/SUM(G85:G88)*P82,0))</f>
        <v>31.433252233675116</v>
      </c>
      <c r="AD82" s="428" t="s">
        <v>6</v>
      </c>
      <c r="AE82" s="388"/>
      <c r="AF82" s="388"/>
      <c r="AG82" s="388"/>
      <c r="AH82" s="388"/>
      <c r="AI82" s="388"/>
      <c r="AJ82" s="388"/>
      <c r="AK82" s="388"/>
      <c r="AL82" s="388"/>
      <c r="AM82" s="388"/>
      <c r="AN82" s="388"/>
      <c r="AO82" s="388"/>
      <c r="AP82" s="388"/>
      <c r="AQ82" s="388"/>
      <c r="AR82" s="388"/>
      <c r="AS82" s="388"/>
      <c r="AT82" s="388"/>
      <c r="AU82" s="388"/>
      <c r="AV82" s="388"/>
      <c r="AX82" s="342"/>
      <c r="AY82" s="342"/>
      <c r="AZ82" s="342"/>
      <c r="BA82" s="342"/>
      <c r="BB82" s="342"/>
      <c r="BC82" s="342"/>
      <c r="BD82" s="342"/>
      <c r="BE82" s="342"/>
      <c r="BF82" s="342"/>
      <c r="BG82" s="342"/>
      <c r="BH82" s="342"/>
      <c r="BI82" s="342"/>
      <c r="BJ82" s="342"/>
    </row>
    <row r="83" spans="1:136" outlineLevel="1" x14ac:dyDescent="0.25">
      <c r="B83" s="431"/>
      <c r="C83" s="425"/>
      <c r="D83" s="425"/>
      <c r="E83" s="425"/>
      <c r="F83" s="425"/>
      <c r="G83" s="420"/>
      <c r="H83" s="420"/>
      <c r="I83" s="420"/>
      <c r="J83" s="420"/>
      <c r="K83" s="420"/>
      <c r="L83" s="432"/>
      <c r="M83" s="342"/>
      <c r="N83" s="514"/>
      <c r="O83" s="420"/>
      <c r="P83" s="515"/>
      <c r="Q83" s="420"/>
      <c r="R83" s="425"/>
      <c r="S83" s="516"/>
      <c r="T83" s="420"/>
      <c r="U83" s="515"/>
      <c r="V83" s="420"/>
      <c r="W83" s="425"/>
      <c r="X83" s="515"/>
      <c r="Y83" s="420"/>
      <c r="Z83" s="515"/>
      <c r="AA83" s="420"/>
      <c r="AB83" s="425"/>
      <c r="AC83" s="517"/>
      <c r="AD83" s="432"/>
      <c r="AE83" s="388"/>
      <c r="AF83" s="388"/>
      <c r="AG83" s="388"/>
      <c r="AH83" s="388"/>
      <c r="AI83" s="388"/>
      <c r="AJ83" s="388"/>
      <c r="AK83" s="388"/>
      <c r="AL83" s="388"/>
      <c r="AM83" s="388"/>
      <c r="AN83" s="388"/>
      <c r="AO83" s="388"/>
      <c r="AP83" s="388"/>
      <c r="AQ83" s="388"/>
      <c r="AR83" s="388"/>
      <c r="AS83" s="388"/>
      <c r="AT83" s="388"/>
      <c r="AU83" s="388"/>
      <c r="AV83" s="388"/>
      <c r="AX83" s="342"/>
      <c r="AY83" s="342"/>
      <c r="AZ83" s="342"/>
      <c r="BA83" s="342"/>
      <c r="BB83" s="342"/>
      <c r="BC83" s="342"/>
      <c r="BD83" s="342"/>
      <c r="BE83" s="342"/>
      <c r="BF83" s="342"/>
      <c r="BG83" s="342"/>
      <c r="BH83" s="342"/>
      <c r="BI83" s="342"/>
      <c r="BJ83" s="342"/>
    </row>
    <row r="84" spans="1:136" outlineLevel="1" x14ac:dyDescent="0.25">
      <c r="B84" s="464" t="s">
        <v>7</v>
      </c>
      <c r="C84" s="425"/>
      <c r="D84" s="425"/>
      <c r="E84" s="425"/>
      <c r="F84" s="425"/>
      <c r="G84" s="519"/>
      <c r="H84" s="519"/>
      <c r="I84" s="434"/>
      <c r="J84" s="434"/>
      <c r="K84" s="425"/>
      <c r="L84" s="470"/>
      <c r="M84" s="342"/>
      <c r="N84" s="514"/>
      <c r="O84" s="420"/>
      <c r="P84" s="515"/>
      <c r="Q84" s="420"/>
      <c r="R84" s="425"/>
      <c r="S84" s="516"/>
      <c r="T84" s="420"/>
      <c r="U84" s="515"/>
      <c r="V84" s="420"/>
      <c r="W84" s="425"/>
      <c r="X84" s="515"/>
      <c r="Y84" s="420"/>
      <c r="Z84" s="515"/>
      <c r="AA84" s="420"/>
      <c r="AB84" s="425"/>
      <c r="AC84" s="517"/>
      <c r="AD84" s="432"/>
      <c r="AE84" s="388"/>
      <c r="AF84" s="388"/>
      <c r="AG84" s="388"/>
      <c r="AH84" s="388"/>
      <c r="AI84" s="388"/>
      <c r="AJ84" s="388"/>
      <c r="AK84" s="388"/>
      <c r="AL84" s="388"/>
      <c r="AM84" s="388"/>
      <c r="AN84" s="388"/>
      <c r="AO84" s="388"/>
      <c r="AP84" s="388"/>
      <c r="AQ84" s="388"/>
      <c r="AR84" s="388"/>
      <c r="AS84" s="388"/>
      <c r="AT84" s="388"/>
      <c r="AU84" s="388"/>
      <c r="AV84" s="388"/>
      <c r="AX84" s="342"/>
      <c r="AY84" s="342"/>
      <c r="AZ84" s="342"/>
      <c r="BA84" s="342"/>
      <c r="BB84" s="342"/>
      <c r="BC84" s="342"/>
      <c r="BD84" s="342"/>
      <c r="BE84" s="342"/>
      <c r="BF84" s="342"/>
      <c r="BG84" s="342"/>
      <c r="BH84" s="342"/>
      <c r="BI84" s="342"/>
      <c r="BJ84" s="342"/>
    </row>
    <row r="85" spans="1:136" outlineLevel="1" x14ac:dyDescent="0.25">
      <c r="B85" s="472"/>
      <c r="C85" s="425"/>
      <c r="D85" s="425"/>
      <c r="E85" s="425"/>
      <c r="F85" s="425"/>
      <c r="G85" s="473"/>
      <c r="H85" s="474" t="str">
        <f>GENERALITES!$D$16</f>
        <v>L</v>
      </c>
      <c r="I85" s="436"/>
      <c r="J85" s="430" t="s">
        <v>2</v>
      </c>
      <c r="K85" s="425"/>
      <c r="L85" s="470"/>
      <c r="M85" s="342"/>
      <c r="N85" s="514"/>
      <c r="O85" s="420"/>
      <c r="P85" s="515"/>
      <c r="Q85" s="420"/>
      <c r="R85" s="425"/>
      <c r="S85" s="516"/>
      <c r="T85" s="420"/>
      <c r="U85" s="515"/>
      <c r="V85" s="420"/>
      <c r="W85" s="425"/>
      <c r="X85" s="515"/>
      <c r="Y85" s="420"/>
      <c r="Z85" s="515"/>
      <c r="AA85" s="420"/>
      <c r="AB85" s="425"/>
      <c r="AC85" s="517"/>
      <c r="AD85" s="432"/>
      <c r="AE85" s="388"/>
      <c r="AF85" s="388"/>
      <c r="AG85" s="388"/>
      <c r="AH85" s="388"/>
      <c r="AI85" s="388"/>
      <c r="AJ85" s="388"/>
      <c r="AK85" s="388"/>
      <c r="AL85" s="388"/>
      <c r="AM85" s="388"/>
      <c r="AN85" s="388"/>
      <c r="AO85" s="388"/>
      <c r="AP85" s="388"/>
      <c r="AQ85" s="388"/>
      <c r="AR85" s="388"/>
      <c r="AS85" s="388"/>
      <c r="AT85" s="388"/>
      <c r="AU85" s="388"/>
      <c r="AV85" s="388"/>
      <c r="AX85" s="342"/>
      <c r="AY85" s="342"/>
      <c r="AZ85" s="342"/>
      <c r="BA85" s="342"/>
      <c r="BB85" s="342"/>
      <c r="BC85" s="342"/>
      <c r="BD85" s="342"/>
      <c r="BE85" s="342"/>
      <c r="BF85" s="342"/>
      <c r="BG85" s="342"/>
      <c r="BH85" s="342"/>
      <c r="BI85" s="342"/>
      <c r="BJ85" s="342"/>
    </row>
    <row r="86" spans="1:136" outlineLevel="1" x14ac:dyDescent="0.25">
      <c r="B86" s="472"/>
      <c r="C86" s="425"/>
      <c r="D86" s="425"/>
      <c r="E86" s="425"/>
      <c r="F86" s="425"/>
      <c r="G86" s="473"/>
      <c r="H86" s="474" t="str">
        <f>GENERALITES!$D$16</f>
        <v>L</v>
      </c>
      <c r="I86" s="436"/>
      <c r="J86" s="430" t="s">
        <v>2</v>
      </c>
      <c r="K86" s="425"/>
      <c r="L86" s="470"/>
      <c r="M86" s="342"/>
      <c r="N86" s="514"/>
      <c r="O86" s="420"/>
      <c r="P86" s="515"/>
      <c r="Q86" s="420"/>
      <c r="R86" s="425"/>
      <c r="S86" s="516"/>
      <c r="T86" s="420"/>
      <c r="U86" s="515"/>
      <c r="V86" s="420"/>
      <c r="W86" s="425"/>
      <c r="X86" s="515"/>
      <c r="Y86" s="420"/>
      <c r="Z86" s="515"/>
      <c r="AA86" s="420"/>
      <c r="AB86" s="425"/>
      <c r="AC86" s="517"/>
      <c r="AD86" s="432"/>
      <c r="AE86" s="388"/>
      <c r="AF86" s="388"/>
      <c r="AG86" s="388"/>
      <c r="AH86" s="388"/>
      <c r="AI86" s="388"/>
      <c r="AJ86" s="388"/>
      <c r="AK86" s="388"/>
      <c r="AL86" s="388"/>
      <c r="AM86" s="388"/>
      <c r="AN86" s="388"/>
      <c r="AO86" s="388"/>
      <c r="AP86" s="388"/>
      <c r="AQ86" s="388"/>
      <c r="AR86" s="388"/>
      <c r="AS86" s="388"/>
      <c r="AT86" s="388"/>
      <c r="AU86" s="388"/>
      <c r="AV86" s="388"/>
      <c r="AX86" s="342"/>
      <c r="AY86" s="342"/>
      <c r="AZ86" s="342"/>
      <c r="BA86" s="342"/>
      <c r="BB86" s="342"/>
      <c r="BC86" s="342"/>
      <c r="BD86" s="342"/>
      <c r="BE86" s="342"/>
      <c r="BF86" s="342"/>
      <c r="BG86" s="342"/>
      <c r="BH86" s="342"/>
      <c r="BI86" s="342"/>
      <c r="BJ86" s="342"/>
    </row>
    <row r="87" spans="1:136" outlineLevel="1" x14ac:dyDescent="0.25">
      <c r="B87" s="472"/>
      <c r="C87" s="425"/>
      <c r="D87" s="425"/>
      <c r="E87" s="425"/>
      <c r="F87" s="425"/>
      <c r="G87" s="473"/>
      <c r="H87" s="474" t="str">
        <f>GENERALITES!$D$16</f>
        <v>L</v>
      </c>
      <c r="I87" s="436"/>
      <c r="J87" s="430" t="s">
        <v>2</v>
      </c>
      <c r="K87" s="425"/>
      <c r="L87" s="470"/>
      <c r="M87" s="342"/>
      <c r="N87" s="514"/>
      <c r="O87" s="420"/>
      <c r="P87" s="515"/>
      <c r="Q87" s="420"/>
      <c r="R87" s="425"/>
      <c r="S87" s="516"/>
      <c r="T87" s="420"/>
      <c r="U87" s="515"/>
      <c r="V87" s="420"/>
      <c r="W87" s="425"/>
      <c r="X87" s="515"/>
      <c r="Y87" s="420"/>
      <c r="Z87" s="515"/>
      <c r="AA87" s="420"/>
      <c r="AB87" s="425"/>
      <c r="AC87" s="517"/>
      <c r="AD87" s="432"/>
      <c r="AE87" s="388"/>
      <c r="AF87" s="388"/>
      <c r="AG87" s="388"/>
      <c r="AH87" s="388"/>
      <c r="AI87" s="388"/>
      <c r="AJ87" s="388"/>
      <c r="AK87" s="388"/>
      <c r="AL87" s="388"/>
      <c r="AM87" s="388"/>
      <c r="AN87" s="388"/>
      <c r="AO87" s="388"/>
      <c r="AP87" s="388"/>
      <c r="AQ87" s="388"/>
      <c r="AR87" s="388"/>
      <c r="AS87" s="388"/>
      <c r="AT87" s="388"/>
      <c r="AU87" s="388"/>
      <c r="AV87" s="388"/>
      <c r="AX87" s="342"/>
      <c r="AY87" s="342"/>
      <c r="AZ87" s="342"/>
      <c r="BA87" s="342"/>
      <c r="BB87" s="342"/>
      <c r="BC87" s="342"/>
      <c r="BD87" s="342"/>
      <c r="BE87" s="342"/>
      <c r="BF87" s="342"/>
      <c r="BG87" s="342"/>
      <c r="BH87" s="342"/>
      <c r="BI87" s="342"/>
      <c r="BJ87" s="342"/>
    </row>
    <row r="88" spans="1:136" outlineLevel="1" x14ac:dyDescent="0.25">
      <c r="B88" s="472"/>
      <c r="C88" s="425"/>
      <c r="D88" s="425"/>
      <c r="E88" s="425"/>
      <c r="F88" s="425"/>
      <c r="G88" s="473"/>
      <c r="H88" s="474" t="str">
        <f>GENERALITES!$D$16</f>
        <v>L</v>
      </c>
      <c r="I88" s="436"/>
      <c r="J88" s="430" t="s">
        <v>2</v>
      </c>
      <c r="K88" s="425"/>
      <c r="L88" s="470"/>
      <c r="M88" s="342"/>
      <c r="N88" s="514"/>
      <c r="O88" s="420"/>
      <c r="P88" s="515"/>
      <c r="Q88" s="420"/>
      <c r="R88" s="425"/>
      <c r="S88" s="516"/>
      <c r="T88" s="420"/>
      <c r="U88" s="515"/>
      <c r="V88" s="420"/>
      <c r="W88" s="425"/>
      <c r="X88" s="515"/>
      <c r="Y88" s="420"/>
      <c r="Z88" s="515"/>
      <c r="AA88" s="420"/>
      <c r="AB88" s="425"/>
      <c r="AC88" s="517"/>
      <c r="AD88" s="432"/>
      <c r="AE88" s="388"/>
      <c r="AF88" s="388"/>
      <c r="AG88" s="388"/>
      <c r="AH88" s="388"/>
      <c r="AI88" s="388"/>
      <c r="AJ88" s="388"/>
      <c r="AK88" s="388"/>
      <c r="AL88" s="388"/>
      <c r="AM88" s="388"/>
      <c r="AN88" s="388"/>
      <c r="AO88" s="388"/>
      <c r="AP88" s="388"/>
      <c r="AQ88" s="388"/>
      <c r="AR88" s="388"/>
      <c r="AS88" s="388"/>
      <c r="AT88" s="388"/>
      <c r="AU88" s="388"/>
      <c r="AV88" s="388"/>
      <c r="AX88" s="342"/>
      <c r="AY88" s="342"/>
      <c r="AZ88" s="342"/>
      <c r="BA88" s="342"/>
      <c r="BB88" s="342"/>
      <c r="BC88" s="342"/>
      <c r="BD88" s="342"/>
      <c r="BE88" s="342"/>
      <c r="BF88" s="342"/>
      <c r="BG88" s="342"/>
      <c r="BH88" s="342"/>
      <c r="BI88" s="342"/>
      <c r="BJ88" s="342"/>
    </row>
    <row r="89" spans="1:136" ht="15.75" thickBot="1" x14ac:dyDescent="0.3">
      <c r="A89" s="440"/>
      <c r="B89" s="477"/>
      <c r="C89" s="478"/>
      <c r="D89" s="478"/>
      <c r="E89" s="478"/>
      <c r="F89" s="478"/>
      <c r="G89" s="478"/>
      <c r="H89" s="478"/>
      <c r="I89" s="478"/>
      <c r="J89" s="478"/>
      <c r="K89" s="478"/>
      <c r="L89" s="479"/>
      <c r="M89" s="440"/>
      <c r="N89" s="477"/>
      <c r="O89" s="478"/>
      <c r="P89" s="478"/>
      <c r="Q89" s="478"/>
      <c r="R89" s="478"/>
      <c r="S89" s="478"/>
      <c r="T89" s="478"/>
      <c r="U89" s="478"/>
      <c r="V89" s="478"/>
      <c r="W89" s="478"/>
      <c r="X89" s="478"/>
      <c r="Y89" s="478"/>
      <c r="Z89" s="478"/>
      <c r="AA89" s="478"/>
      <c r="AB89" s="478"/>
      <c r="AC89" s="478"/>
      <c r="AD89" s="479"/>
      <c r="AE89" s="440"/>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c r="DQ89" s="388"/>
      <c r="DR89" s="388"/>
      <c r="DS89" s="388"/>
      <c r="DT89" s="388"/>
      <c r="DU89" s="388"/>
      <c r="DV89" s="388"/>
      <c r="DW89" s="388"/>
      <c r="DX89" s="388"/>
      <c r="DY89" s="388"/>
      <c r="DZ89" s="388"/>
      <c r="EA89" s="388"/>
      <c r="EB89" s="388"/>
      <c r="EC89" s="388"/>
      <c r="ED89" s="388"/>
      <c r="EE89" s="388"/>
      <c r="EF89" s="388"/>
    </row>
    <row r="90" spans="1:136" ht="30" customHeight="1" thickBot="1" x14ac:dyDescent="0.3">
      <c r="A90" s="388"/>
      <c r="B90" s="499" t="s">
        <v>65</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1"/>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row>
    <row r="91" spans="1:136" outlineLevel="1" x14ac:dyDescent="0.25">
      <c r="B91" s="412"/>
      <c r="C91" s="413"/>
      <c r="D91" s="413"/>
      <c r="E91" s="413"/>
      <c r="F91" s="413"/>
      <c r="G91" s="413"/>
      <c r="H91" s="413"/>
      <c r="I91" s="413"/>
      <c r="J91" s="413"/>
      <c r="K91" s="413"/>
      <c r="L91" s="414"/>
      <c r="N91" s="412"/>
      <c r="O91" s="413"/>
      <c r="P91" s="413"/>
      <c r="Q91" s="413"/>
      <c r="R91" s="413"/>
      <c r="S91" s="413"/>
      <c r="T91" s="413"/>
      <c r="U91" s="413"/>
      <c r="V91" s="413"/>
      <c r="W91" s="413"/>
      <c r="X91" s="413"/>
      <c r="Y91" s="413"/>
      <c r="Z91" s="413"/>
      <c r="AA91" s="413"/>
      <c r="AB91" s="413"/>
      <c r="AC91" s="413"/>
      <c r="AD91" s="414"/>
    </row>
    <row r="92" spans="1:136"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289"/>
      <c r="W92" s="289"/>
      <c r="X92" s="289"/>
      <c r="Y92" s="289"/>
      <c r="Z92" s="289"/>
      <c r="AA92" s="289"/>
      <c r="AB92" s="289"/>
      <c r="AC92" s="289"/>
      <c r="AD92" s="419"/>
      <c r="AE92" s="388"/>
      <c r="AF92" s="342"/>
      <c r="AG92" s="342"/>
      <c r="AH92" s="342"/>
      <c r="AI92" s="342"/>
      <c r="AJ92" s="342"/>
      <c r="AK92" s="342"/>
      <c r="AL92" s="342"/>
      <c r="AM92" s="342"/>
      <c r="AN92" s="342"/>
      <c r="AO92" s="342"/>
      <c r="AP92" s="342"/>
      <c r="AQ92" s="342"/>
      <c r="AR92" s="342"/>
      <c r="AS92" s="342"/>
      <c r="AT92" s="342"/>
      <c r="AU92" s="342"/>
      <c r="AV92" s="342"/>
      <c r="AX92" s="342"/>
      <c r="AY92" s="342"/>
      <c r="AZ92" s="342"/>
      <c r="BA92" s="342"/>
      <c r="BB92" s="342"/>
      <c r="BC92" s="342"/>
    </row>
    <row r="93" spans="1:136" ht="43.5" customHeight="1" outlineLevel="1" x14ac:dyDescent="0.25">
      <c r="B93" s="486" t="s">
        <v>17</v>
      </c>
      <c r="C93" s="425"/>
      <c r="D93" s="425"/>
      <c r="E93" s="425"/>
      <c r="F93" s="425"/>
      <c r="G93" s="422" t="s">
        <v>346</v>
      </c>
      <c r="H93" s="270"/>
      <c r="I93" s="422" t="s">
        <v>347</v>
      </c>
      <c r="J93" s="447"/>
      <c r="K93" s="447"/>
      <c r="L93" s="401"/>
      <c r="M93" s="342"/>
      <c r="N93" s="269" t="s">
        <v>39</v>
      </c>
      <c r="O93" s="270"/>
      <c r="P93" s="422" t="s">
        <v>348</v>
      </c>
      <c r="Q93" s="270"/>
      <c r="R93" s="425"/>
      <c r="S93" s="422" t="s">
        <v>106</v>
      </c>
      <c r="T93" s="270"/>
      <c r="U93" s="422" t="s">
        <v>107</v>
      </c>
      <c r="V93" s="270"/>
      <c r="W93" s="425"/>
      <c r="X93" s="422" t="s">
        <v>349</v>
      </c>
      <c r="Y93" s="270"/>
      <c r="Z93" s="422" t="s">
        <v>350</v>
      </c>
      <c r="AA93" s="270"/>
      <c r="AB93" s="425"/>
      <c r="AC93" s="422" t="s">
        <v>351</v>
      </c>
      <c r="AD93" s="401"/>
      <c r="AE93" s="388"/>
      <c r="AF93" s="388"/>
      <c r="AG93" s="388"/>
      <c r="AH93" s="388"/>
      <c r="AI93" s="388"/>
      <c r="AJ93" s="388"/>
      <c r="AK93" s="388"/>
      <c r="AL93" s="388"/>
      <c r="AM93" s="388"/>
      <c r="AN93" s="388"/>
      <c r="AO93" s="388"/>
      <c r="AP93" s="388"/>
      <c r="AQ93" s="388"/>
      <c r="AR93" s="388"/>
      <c r="AS93" s="388"/>
      <c r="AT93" s="388"/>
      <c r="AU93" s="388"/>
      <c r="AV93" s="388"/>
      <c r="AX93" s="342"/>
      <c r="AY93" s="342"/>
      <c r="AZ93" s="342"/>
      <c r="BA93" s="342"/>
      <c r="BB93" s="342"/>
      <c r="BC93" s="342"/>
    </row>
    <row r="94" spans="1:136" outlineLevel="1" x14ac:dyDescent="0.25">
      <c r="B94" s="435" t="s">
        <v>18</v>
      </c>
      <c r="C94" s="425"/>
      <c r="D94" s="425"/>
      <c r="E94" s="425"/>
      <c r="F94" s="425"/>
      <c r="G94" s="469">
        <v>0.1</v>
      </c>
      <c r="H94" s="427" t="s">
        <v>3</v>
      </c>
      <c r="I94" s="485">
        <f>$N$10</f>
        <v>10.080935251798561</v>
      </c>
      <c r="J94" s="449" t="s">
        <v>2</v>
      </c>
      <c r="K94" s="302">
        <f>IF(B94=Annexes!$B$3,G94*I94/100,SUMPRODUCT(G97:G100,I97:I100/100))</f>
        <v>1.0080935251798562E-2</v>
      </c>
      <c r="L94" s="428" t="s">
        <v>3</v>
      </c>
      <c r="M94" s="342"/>
      <c r="N94" s="437">
        <f>GENERALITES!$G$53</f>
        <v>47500</v>
      </c>
      <c r="O94" s="427" t="s">
        <v>11</v>
      </c>
      <c r="P94" s="302">
        <f>IF(B94=Annexes!$B$3,G94*N94,SUM(G97:G100)*N94)</f>
        <v>4750</v>
      </c>
      <c r="Q94" s="427" t="s">
        <v>6</v>
      </c>
      <c r="R94" s="425"/>
      <c r="S94" s="302">
        <f>'ETAPE 3'!Z94</f>
        <v>3719.2208343240354</v>
      </c>
      <c r="T94" s="427" t="s">
        <v>72</v>
      </c>
      <c r="U94" s="448">
        <f>S94*$B$10</f>
        <v>20678.867838841637</v>
      </c>
      <c r="V94" s="427" t="s">
        <v>6</v>
      </c>
      <c r="W94" s="425"/>
      <c r="X94" s="302">
        <f>P94+U94</f>
        <v>25428.867838841637</v>
      </c>
      <c r="Y94" s="427" t="s">
        <v>6</v>
      </c>
      <c r="Z94" s="302">
        <f>IF($E$10&lt;&gt;0,X94/$E$10,0)</f>
        <v>4573.5373810866249</v>
      </c>
      <c r="AA94" s="427" t="s">
        <v>72</v>
      </c>
      <c r="AB94" s="425"/>
      <c r="AC94" s="302">
        <f>$N$10/100*U94+IF(B94=Annexes!$B$3,I94/100*P94,IF(SUM(G97:G100)&gt;0,K94/SUM(G97:G100)*P94,0))</f>
        <v>2563.4677020990534</v>
      </c>
      <c r="AD94" s="428" t="s">
        <v>6</v>
      </c>
      <c r="AE94" s="388"/>
      <c r="AF94" s="388"/>
      <c r="AG94" s="388"/>
      <c r="AH94" s="388"/>
      <c r="AI94" s="388"/>
      <c r="AJ94" s="388"/>
      <c r="AK94" s="388"/>
      <c r="AL94" s="388"/>
      <c r="AM94" s="388"/>
      <c r="AN94" s="388"/>
      <c r="AO94" s="388"/>
      <c r="AP94" s="388"/>
      <c r="AQ94" s="388"/>
      <c r="AR94" s="388"/>
      <c r="AS94" s="388"/>
      <c r="AT94" s="388"/>
      <c r="AU94" s="388"/>
      <c r="AV94" s="388"/>
      <c r="AX94" s="342"/>
      <c r="AY94" s="342"/>
      <c r="AZ94" s="342"/>
      <c r="BA94" s="342"/>
      <c r="BB94" s="342"/>
      <c r="BC94" s="342"/>
    </row>
    <row r="95" spans="1:136"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20"/>
      <c r="W95" s="420"/>
      <c r="X95" s="420"/>
      <c r="Y95" s="420"/>
      <c r="Z95" s="420"/>
      <c r="AA95" s="420"/>
      <c r="AB95" s="420"/>
      <c r="AC95" s="420"/>
      <c r="AD95" s="432"/>
      <c r="AE95" s="388"/>
      <c r="AF95" s="388"/>
      <c r="AG95" s="388"/>
      <c r="AH95" s="388"/>
      <c r="AI95" s="388"/>
      <c r="AJ95" s="388"/>
      <c r="AK95" s="388"/>
      <c r="AL95" s="388"/>
      <c r="AM95" s="388"/>
      <c r="AN95" s="388"/>
      <c r="AO95" s="388"/>
      <c r="AP95" s="388"/>
      <c r="AQ95" s="388"/>
      <c r="AR95" s="388"/>
      <c r="AS95" s="388"/>
      <c r="AT95" s="388"/>
      <c r="AU95" s="388"/>
      <c r="AV95" s="388"/>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c r="DQ95" s="342"/>
      <c r="DR95" s="342"/>
      <c r="DS95" s="342"/>
      <c r="DT95" s="342"/>
      <c r="DU95" s="342"/>
      <c r="DV95" s="342"/>
      <c r="DW95" s="342"/>
      <c r="DX95" s="342"/>
      <c r="DY95" s="342"/>
      <c r="DZ95" s="342"/>
      <c r="EA95" s="342"/>
      <c r="EB95" s="342"/>
      <c r="EC95" s="342"/>
      <c r="ED95" s="342"/>
      <c r="EE95" s="342"/>
      <c r="EF95" s="342"/>
    </row>
    <row r="96" spans="1:136"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20"/>
      <c r="W96" s="420"/>
      <c r="X96" s="420"/>
      <c r="Y96" s="420"/>
      <c r="Z96" s="420"/>
      <c r="AA96" s="420"/>
      <c r="AB96" s="420"/>
      <c r="AC96" s="420"/>
      <c r="AD96" s="432"/>
      <c r="AE96" s="388"/>
      <c r="AF96" s="388"/>
      <c r="AG96" s="388"/>
      <c r="AH96" s="388"/>
      <c r="AI96" s="388"/>
      <c r="AJ96" s="388"/>
      <c r="AK96" s="388"/>
      <c r="AL96" s="388"/>
      <c r="AM96" s="388"/>
      <c r="AN96" s="388"/>
      <c r="AO96" s="388"/>
      <c r="AP96" s="388"/>
      <c r="AQ96" s="388"/>
      <c r="AR96" s="388"/>
      <c r="AS96" s="388"/>
      <c r="AT96" s="388"/>
      <c r="AU96" s="388"/>
      <c r="AV96" s="388"/>
    </row>
    <row r="97" spans="1:136"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c r="V97" s="420"/>
      <c r="W97" s="420"/>
      <c r="X97" s="420"/>
      <c r="Y97" s="420"/>
      <c r="Z97" s="420"/>
      <c r="AA97" s="420"/>
      <c r="AB97" s="420"/>
      <c r="AC97" s="420"/>
      <c r="AD97" s="432"/>
      <c r="AE97" s="388"/>
      <c r="AF97" s="388"/>
      <c r="AG97" s="388"/>
      <c r="AH97" s="388"/>
      <c r="AI97" s="388"/>
      <c r="AJ97" s="388"/>
      <c r="AK97" s="388"/>
      <c r="AL97" s="388"/>
      <c r="AM97" s="388"/>
      <c r="AN97" s="388"/>
      <c r="AO97" s="388"/>
      <c r="AP97" s="388"/>
      <c r="AQ97" s="388"/>
      <c r="AR97" s="388"/>
      <c r="AS97" s="388"/>
      <c r="AT97" s="388"/>
      <c r="AU97" s="388"/>
      <c r="AV97" s="388"/>
    </row>
    <row r="98" spans="1:136"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20"/>
      <c r="W98" s="420"/>
      <c r="X98" s="420"/>
      <c r="Y98" s="420"/>
      <c r="Z98" s="420"/>
      <c r="AA98" s="420"/>
      <c r="AB98" s="420"/>
      <c r="AC98" s="420"/>
      <c r="AD98" s="432"/>
      <c r="AE98" s="388"/>
      <c r="AF98" s="388"/>
      <c r="AG98" s="388"/>
      <c r="AH98" s="388"/>
      <c r="AI98" s="388"/>
      <c r="AJ98" s="388"/>
      <c r="AK98" s="388"/>
      <c r="AL98" s="388"/>
      <c r="AM98" s="388"/>
      <c r="AN98" s="388"/>
      <c r="AO98" s="388"/>
      <c r="AP98" s="388"/>
      <c r="AQ98" s="388"/>
      <c r="AR98" s="388"/>
      <c r="AS98" s="388"/>
      <c r="AT98" s="388"/>
      <c r="AU98" s="388"/>
      <c r="AV98" s="388"/>
    </row>
    <row r="99" spans="1:136"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20"/>
      <c r="W99" s="420"/>
      <c r="X99" s="420"/>
      <c r="Y99" s="420"/>
      <c r="Z99" s="420"/>
      <c r="AA99" s="420"/>
      <c r="AB99" s="420"/>
      <c r="AC99" s="420"/>
      <c r="AD99" s="432"/>
      <c r="AE99" s="388"/>
      <c r="AF99" s="388"/>
      <c r="AG99" s="388"/>
      <c r="AH99" s="388"/>
      <c r="AI99" s="388"/>
      <c r="AJ99" s="388"/>
      <c r="AK99" s="388"/>
      <c r="AL99" s="388"/>
      <c r="AM99" s="388"/>
      <c r="AN99" s="388"/>
      <c r="AO99" s="388"/>
      <c r="AP99" s="388"/>
      <c r="AQ99" s="388"/>
      <c r="AR99" s="388"/>
      <c r="AS99" s="388"/>
      <c r="AT99" s="388"/>
      <c r="AU99" s="388"/>
      <c r="AV99" s="388"/>
    </row>
    <row r="100" spans="1:136"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20"/>
      <c r="W100" s="420"/>
      <c r="X100" s="420"/>
      <c r="Y100" s="420"/>
      <c r="Z100" s="420"/>
      <c r="AA100" s="420"/>
      <c r="AB100" s="420"/>
      <c r="AC100" s="420"/>
      <c r="AD100" s="432"/>
      <c r="AE100" s="388"/>
      <c r="AF100" s="388"/>
      <c r="AG100" s="388"/>
      <c r="AH100" s="388"/>
      <c r="AI100" s="388"/>
      <c r="AJ100" s="388"/>
      <c r="AK100" s="388"/>
      <c r="AL100" s="388"/>
      <c r="AM100" s="388"/>
      <c r="AN100" s="388"/>
      <c r="AO100" s="388"/>
      <c r="AP100" s="388"/>
      <c r="AQ100" s="388"/>
      <c r="AR100" s="388"/>
      <c r="AS100" s="388"/>
      <c r="AT100" s="388"/>
      <c r="AU100" s="388"/>
      <c r="AV100" s="388"/>
    </row>
    <row r="101" spans="1:136" ht="15.75" thickBot="1" x14ac:dyDescent="0.3">
      <c r="B101" s="521"/>
      <c r="C101" s="522"/>
      <c r="D101" s="522"/>
      <c r="E101" s="522"/>
      <c r="F101" s="522"/>
      <c r="G101" s="522"/>
      <c r="H101" s="522"/>
      <c r="I101" s="522"/>
      <c r="J101" s="522"/>
      <c r="K101" s="522"/>
      <c r="L101" s="523"/>
      <c r="N101" s="521"/>
      <c r="O101" s="522"/>
      <c r="P101" s="522"/>
      <c r="Q101" s="522"/>
      <c r="R101" s="522"/>
      <c r="S101" s="522"/>
      <c r="T101" s="522"/>
      <c r="U101" s="522"/>
      <c r="V101" s="522"/>
      <c r="W101" s="522"/>
      <c r="X101" s="522"/>
      <c r="Y101" s="522"/>
      <c r="Z101" s="522"/>
      <c r="AA101" s="522"/>
      <c r="AB101" s="522"/>
      <c r="AC101" s="522"/>
      <c r="AD101" s="523"/>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c r="DQ101" s="388"/>
      <c r="DR101" s="388"/>
      <c r="DS101" s="388"/>
      <c r="DT101" s="388"/>
      <c r="DU101" s="388"/>
      <c r="DV101" s="388"/>
      <c r="DW101" s="388"/>
      <c r="DX101" s="388"/>
      <c r="DY101" s="388"/>
      <c r="DZ101" s="388"/>
      <c r="EA101" s="388"/>
      <c r="EB101" s="388"/>
      <c r="EC101" s="388"/>
      <c r="ED101" s="388"/>
      <c r="EE101" s="388"/>
      <c r="EF101" s="388"/>
    </row>
    <row r="102" spans="1:136" ht="30" customHeight="1" thickBot="1" x14ac:dyDescent="0.3">
      <c r="A102" s="388"/>
      <c r="B102" s="499" t="s">
        <v>512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1"/>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2"/>
      <c r="BY102" s="342"/>
      <c r="BZ102" s="342"/>
      <c r="CA102" s="342"/>
      <c r="CB102" s="342"/>
      <c r="CC102" s="342"/>
      <c r="CD102" s="342"/>
      <c r="CE102" s="342"/>
      <c r="CF102" s="342"/>
      <c r="CG102" s="342"/>
      <c r="CH102" s="342"/>
      <c r="CI102" s="342"/>
      <c r="CJ102" s="342"/>
      <c r="CK102" s="342"/>
      <c r="CL102" s="342"/>
      <c r="CM102" s="342"/>
      <c r="CN102" s="342"/>
      <c r="CO102" s="342"/>
      <c r="CP102" s="342"/>
      <c r="CQ102" s="342"/>
      <c r="CR102" s="342"/>
      <c r="CS102" s="342"/>
      <c r="CT102" s="342"/>
      <c r="CU102" s="342"/>
      <c r="CV102" s="342"/>
      <c r="CW102" s="342"/>
      <c r="CX102" s="342"/>
      <c r="CY102" s="342"/>
      <c r="CZ102" s="342"/>
      <c r="DA102" s="342"/>
      <c r="DB102" s="342"/>
      <c r="DC102" s="342"/>
      <c r="DD102" s="342"/>
      <c r="DE102" s="342"/>
      <c r="DF102" s="342"/>
      <c r="DG102" s="342"/>
      <c r="DH102" s="342"/>
      <c r="DI102" s="342"/>
      <c r="DJ102" s="342"/>
      <c r="DK102" s="342"/>
      <c r="DL102" s="342"/>
      <c r="DM102" s="342"/>
      <c r="DN102" s="342"/>
      <c r="DO102" s="342"/>
      <c r="DP102" s="342"/>
      <c r="DQ102" s="342"/>
      <c r="DR102" s="342"/>
      <c r="DS102" s="342"/>
      <c r="DT102" s="342"/>
      <c r="DU102" s="342"/>
      <c r="DV102" s="342"/>
      <c r="DW102" s="342"/>
      <c r="DX102" s="342"/>
      <c r="DY102" s="342"/>
      <c r="DZ102" s="342"/>
      <c r="EA102" s="342"/>
      <c r="EB102" s="342"/>
      <c r="EC102" s="342"/>
      <c r="ED102" s="342"/>
      <c r="EE102" s="342"/>
      <c r="EF102" s="342"/>
    </row>
    <row r="103" spans="1:136"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3"/>
      <c r="W103" s="413"/>
      <c r="X103" s="413"/>
      <c r="Y103" s="413"/>
      <c r="Z103" s="413"/>
      <c r="AA103" s="413"/>
      <c r="AB103" s="413"/>
      <c r="AC103" s="413"/>
      <c r="AD103" s="414"/>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c r="DQ103" s="388"/>
      <c r="DR103" s="388"/>
      <c r="DS103" s="388"/>
      <c r="DT103" s="388"/>
      <c r="DU103" s="388"/>
      <c r="DV103" s="388"/>
      <c r="DW103" s="388"/>
      <c r="DX103" s="388"/>
      <c r="DY103" s="388"/>
      <c r="DZ103" s="388"/>
      <c r="EA103" s="388"/>
      <c r="EB103" s="388"/>
      <c r="EC103" s="388"/>
      <c r="ED103" s="388"/>
      <c r="EE103" s="388"/>
      <c r="EF103" s="388"/>
    </row>
    <row r="104" spans="1:136" ht="15" customHeight="1"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289"/>
      <c r="W104" s="289"/>
      <c r="X104" s="289"/>
      <c r="Y104" s="289"/>
      <c r="Z104" s="289"/>
      <c r="AA104" s="289"/>
      <c r="AB104" s="289"/>
      <c r="AC104" s="289"/>
      <c r="AD104" s="419"/>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36" ht="45" customHeight="1" outlineLevel="1" x14ac:dyDescent="0.25">
      <c r="B105" s="471"/>
      <c r="C105" s="425"/>
      <c r="D105" s="425"/>
      <c r="E105" s="425"/>
      <c r="F105" s="425"/>
      <c r="G105" s="524" t="s">
        <v>609</v>
      </c>
      <c r="H105" s="525"/>
      <c r="I105" s="422" t="s">
        <v>616</v>
      </c>
      <c r="J105" s="447"/>
      <c r="K105" s="447"/>
      <c r="L105" s="401"/>
      <c r="M105" s="342"/>
      <c r="N105" s="269" t="s">
        <v>601</v>
      </c>
      <c r="O105" s="270"/>
      <c r="P105" s="425"/>
      <c r="Q105" s="425"/>
      <c r="R105" s="425"/>
      <c r="S105" s="425"/>
      <c r="T105" s="425"/>
      <c r="U105" s="434"/>
      <c r="V105" s="434"/>
      <c r="W105" s="420"/>
      <c r="X105" s="420"/>
      <c r="Y105" s="420"/>
      <c r="Z105" s="420"/>
      <c r="AA105" s="420"/>
      <c r="AB105" s="420"/>
      <c r="AC105" s="422" t="s">
        <v>606</v>
      </c>
      <c r="AD105" s="401"/>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36" outlineLevel="1" x14ac:dyDescent="0.25">
      <c r="B106" s="471"/>
      <c r="C106" s="425"/>
      <c r="D106" s="425"/>
      <c r="E106" s="425"/>
      <c r="F106" s="425"/>
      <c r="G106" s="302">
        <f>$G$16+$K$31</f>
        <v>0.5605</v>
      </c>
      <c r="H106" s="427" t="s">
        <v>1</v>
      </c>
      <c r="I106" s="436">
        <v>100</v>
      </c>
      <c r="J106" s="449" t="s">
        <v>2</v>
      </c>
      <c r="K106" s="302">
        <f>G106*I106/100</f>
        <v>0.5605</v>
      </c>
      <c r="L106" s="428" t="s">
        <v>1</v>
      </c>
      <c r="M106" s="342"/>
      <c r="N106" s="437">
        <f>GENERALITES!$M$63</f>
        <v>350</v>
      </c>
      <c r="O106" s="427" t="s">
        <v>0</v>
      </c>
      <c r="P106" s="425"/>
      <c r="Q106" s="425"/>
      <c r="R106" s="425"/>
      <c r="S106" s="425"/>
      <c r="T106" s="425"/>
      <c r="U106" s="434"/>
      <c r="V106" s="434"/>
      <c r="W106" s="420"/>
      <c r="X106" s="420"/>
      <c r="Y106" s="420"/>
      <c r="Z106" s="420"/>
      <c r="AA106" s="420"/>
      <c r="AB106" s="420"/>
      <c r="AC106" s="302">
        <f>K106*N106</f>
        <v>196.17500000000001</v>
      </c>
      <c r="AD106" s="428" t="s">
        <v>6</v>
      </c>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36" ht="15.75" thickBot="1" x14ac:dyDescent="0.3">
      <c r="B107" s="521"/>
      <c r="C107" s="522"/>
      <c r="D107" s="522"/>
      <c r="E107" s="522"/>
      <c r="F107" s="522"/>
      <c r="G107" s="522"/>
      <c r="H107" s="522"/>
      <c r="I107" s="522"/>
      <c r="J107" s="522"/>
      <c r="K107" s="522"/>
      <c r="L107" s="523"/>
      <c r="N107" s="521"/>
      <c r="O107" s="522"/>
      <c r="P107" s="522"/>
      <c r="Q107" s="522"/>
      <c r="R107" s="522"/>
      <c r="S107" s="522"/>
      <c r="T107" s="522"/>
      <c r="U107" s="522"/>
      <c r="V107" s="522"/>
      <c r="W107" s="522"/>
      <c r="X107" s="522"/>
      <c r="Y107" s="522"/>
      <c r="Z107" s="522"/>
      <c r="AA107" s="522"/>
      <c r="AB107" s="522"/>
      <c r="AC107" s="522"/>
      <c r="AD107" s="523"/>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c r="DQ107" s="388"/>
      <c r="DR107" s="388"/>
      <c r="DS107" s="388"/>
      <c r="DT107" s="388"/>
      <c r="DU107" s="388"/>
      <c r="DV107" s="388"/>
      <c r="DW107" s="388"/>
      <c r="DX107" s="388"/>
      <c r="DY107" s="388"/>
      <c r="DZ107" s="388"/>
      <c r="EA107" s="388"/>
      <c r="EB107" s="388"/>
      <c r="EC107" s="388"/>
      <c r="ED107" s="388"/>
      <c r="EE107" s="388"/>
      <c r="EF107" s="388"/>
    </row>
    <row r="108" spans="1:136" ht="30" customHeight="1" thickBot="1" x14ac:dyDescent="0.3">
      <c r="A108" s="388"/>
      <c r="B108" s="499" t="s">
        <v>513</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1"/>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row>
    <row r="109" spans="1:136"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3"/>
      <c r="W109" s="413"/>
      <c r="X109" s="413"/>
      <c r="Y109" s="413"/>
      <c r="Z109" s="413"/>
      <c r="AA109" s="413"/>
      <c r="AB109" s="413"/>
      <c r="AC109" s="413"/>
      <c r="AD109" s="414"/>
      <c r="AF109" s="412"/>
      <c r="AG109" s="413"/>
      <c r="AH109" s="413"/>
      <c r="AI109" s="413"/>
      <c r="AJ109" s="413"/>
      <c r="AK109" s="413"/>
      <c r="AL109" s="413"/>
      <c r="AM109" s="413"/>
      <c r="AN109" s="413"/>
      <c r="AO109" s="413"/>
      <c r="AP109" s="413"/>
      <c r="AQ109" s="413"/>
      <c r="AR109" s="413"/>
      <c r="AS109" s="413"/>
      <c r="AT109" s="413"/>
      <c r="AU109" s="413"/>
      <c r="AV109" s="414"/>
    </row>
    <row r="110" spans="1:136"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289"/>
      <c r="W110" s="289"/>
      <c r="X110" s="289"/>
      <c r="Y110" s="289"/>
      <c r="Z110" s="289"/>
      <c r="AA110" s="289"/>
      <c r="AB110" s="289"/>
      <c r="AC110" s="289"/>
      <c r="AD110" s="419"/>
      <c r="AE110" s="388"/>
      <c r="AF110" s="418" t="s">
        <v>52</v>
      </c>
      <c r="AG110" s="289"/>
      <c r="AH110" s="289"/>
      <c r="AI110" s="289"/>
      <c r="AJ110" s="289"/>
      <c r="AK110" s="289"/>
      <c r="AL110" s="289"/>
      <c r="AM110" s="289"/>
      <c r="AN110" s="289"/>
      <c r="AO110" s="289"/>
      <c r="AP110" s="289"/>
      <c r="AQ110" s="289"/>
      <c r="AR110" s="289"/>
      <c r="AS110" s="289"/>
      <c r="AT110" s="289"/>
      <c r="AU110" s="289"/>
      <c r="AV110" s="419"/>
      <c r="AX110" s="342"/>
      <c r="AY110" s="342"/>
      <c r="AZ110" s="342"/>
      <c r="BA110" s="342"/>
      <c r="BB110" s="342"/>
      <c r="BC110" s="342"/>
      <c r="BD110" s="342"/>
      <c r="BE110" s="342"/>
      <c r="BF110" s="342"/>
      <c r="BG110" s="342"/>
      <c r="BH110" s="342"/>
      <c r="BI110" s="342"/>
      <c r="BJ110" s="342"/>
    </row>
    <row r="111" spans="1:136" ht="45" customHeight="1" outlineLevel="1" x14ac:dyDescent="0.25">
      <c r="B111" s="421" t="s">
        <v>15</v>
      </c>
      <c r="C111" s="425"/>
      <c r="D111" s="425"/>
      <c r="E111" s="425"/>
      <c r="F111" s="425"/>
      <c r="G111" s="524" t="s">
        <v>609</v>
      </c>
      <c r="H111" s="525"/>
      <c r="I111" s="422" t="s">
        <v>622</v>
      </c>
      <c r="J111" s="447"/>
      <c r="K111" s="447"/>
      <c r="L111" s="401"/>
      <c r="M111" s="342"/>
      <c r="N111" s="269" t="s">
        <v>517</v>
      </c>
      <c r="O111" s="270"/>
      <c r="P111" s="425"/>
      <c r="Q111" s="425"/>
      <c r="R111" s="425"/>
      <c r="S111" s="425"/>
      <c r="T111" s="425"/>
      <c r="U111" s="425"/>
      <c r="V111" s="425"/>
      <c r="W111" s="425"/>
      <c r="X111" s="425"/>
      <c r="Y111" s="425"/>
      <c r="Z111" s="425"/>
      <c r="AA111" s="425"/>
      <c r="AB111" s="425"/>
      <c r="AC111" s="422" t="s">
        <v>523</v>
      </c>
      <c r="AD111" s="401"/>
      <c r="AE111" s="388"/>
      <c r="AF111" s="269" t="s">
        <v>52</v>
      </c>
      <c r="AG111" s="270"/>
      <c r="AH111" s="420"/>
      <c r="AI111" s="420"/>
      <c r="AJ111" s="420"/>
      <c r="AK111" s="420"/>
      <c r="AL111" s="420"/>
      <c r="AM111" s="420"/>
      <c r="AN111" s="420"/>
      <c r="AO111" s="420"/>
      <c r="AP111" s="420"/>
      <c r="AQ111" s="420"/>
      <c r="AR111" s="420"/>
      <c r="AS111" s="420"/>
      <c r="AT111" s="420"/>
      <c r="AU111" s="422" t="s">
        <v>352</v>
      </c>
      <c r="AV111" s="401"/>
      <c r="AX111" s="342"/>
      <c r="AY111" s="342"/>
      <c r="AZ111" s="342"/>
      <c r="BA111" s="342"/>
      <c r="BB111" s="342"/>
      <c r="BC111" s="342"/>
      <c r="BD111" s="342"/>
      <c r="BE111" s="342"/>
      <c r="BF111" s="342"/>
      <c r="BG111" s="342"/>
      <c r="BH111" s="342"/>
      <c r="BI111" s="342"/>
      <c r="BJ111" s="342"/>
    </row>
    <row r="112" spans="1:136" outlineLevel="1" x14ac:dyDescent="0.25">
      <c r="B112" s="426"/>
      <c r="C112" s="425"/>
      <c r="D112" s="425"/>
      <c r="E112" s="425"/>
      <c r="F112" s="425"/>
      <c r="G112" s="302">
        <f>$G$16+$K$31</f>
        <v>0.5605</v>
      </c>
      <c r="H112" s="427" t="s">
        <v>1</v>
      </c>
      <c r="I112" s="302">
        <f>SUM(I114:I117)</f>
        <v>100</v>
      </c>
      <c r="J112" s="449" t="s">
        <v>2</v>
      </c>
      <c r="K112" s="302">
        <f>SUM(K114:K117)</f>
        <v>0.5605</v>
      </c>
      <c r="L112" s="428" t="s">
        <v>1</v>
      </c>
      <c r="M112" s="342"/>
      <c r="N112" s="450"/>
      <c r="O112" s="427" t="s">
        <v>0</v>
      </c>
      <c r="P112" s="425"/>
      <c r="Q112" s="425"/>
      <c r="R112" s="425"/>
      <c r="S112" s="425"/>
      <c r="T112" s="425"/>
      <c r="U112" s="425"/>
      <c r="V112" s="425"/>
      <c r="W112" s="425"/>
      <c r="X112" s="425"/>
      <c r="Y112" s="425"/>
      <c r="Z112" s="425"/>
      <c r="AA112" s="425"/>
      <c r="AB112" s="425"/>
      <c r="AC112" s="302">
        <f>SUMPRODUCT('ETAPE 4'!K114:K117,'ETAPE 4'!N114:N117)</f>
        <v>-1681.5</v>
      </c>
      <c r="AD112" s="428" t="s">
        <v>6</v>
      </c>
      <c r="AE112" s="388"/>
      <c r="AF112" s="429"/>
      <c r="AG112" s="430" t="s">
        <v>20</v>
      </c>
      <c r="AH112" s="420"/>
      <c r="AI112" s="420"/>
      <c r="AJ112" s="420"/>
      <c r="AK112" s="420"/>
      <c r="AL112" s="420"/>
      <c r="AM112" s="420"/>
      <c r="AN112" s="420"/>
      <c r="AO112" s="420"/>
      <c r="AP112" s="420"/>
      <c r="AQ112" s="420"/>
      <c r="AR112" s="420"/>
      <c r="AS112" s="420"/>
      <c r="AT112" s="420"/>
      <c r="AU112" s="302">
        <f>SUMPRODUCT('ETAPE 4'!K114:K117,'ETAPE 4'!AF114:AF117)</f>
        <v>7.7443556349999993E-3</v>
      </c>
      <c r="AV112" s="428" t="s">
        <v>21</v>
      </c>
      <c r="AX112" s="342"/>
      <c r="AY112" s="342"/>
      <c r="AZ112" s="342"/>
      <c r="BA112" s="342"/>
      <c r="BB112" s="342"/>
      <c r="BC112" s="342"/>
      <c r="BD112" s="342"/>
      <c r="BE112" s="342"/>
      <c r="BF112" s="342"/>
      <c r="BG112" s="342"/>
      <c r="BH112" s="342"/>
      <c r="BI112" s="342"/>
      <c r="BJ112" s="342"/>
    </row>
    <row r="113" spans="1:136" ht="6.75" customHeight="1" outlineLevel="1" x14ac:dyDescent="0.25">
      <c r="A113" s="388"/>
      <c r="B113" s="431"/>
      <c r="C113" s="425"/>
      <c r="D113" s="425"/>
      <c r="E113" s="425"/>
      <c r="F113" s="425"/>
      <c r="G113" s="425"/>
      <c r="H113" s="425"/>
      <c r="I113" s="433"/>
      <c r="J113" s="433"/>
      <c r="K113" s="420"/>
      <c r="L113" s="432"/>
      <c r="M113" s="342"/>
      <c r="N113" s="431"/>
      <c r="O113" s="420"/>
      <c r="P113" s="420"/>
      <c r="Q113" s="420"/>
      <c r="R113" s="420"/>
      <c r="S113" s="420"/>
      <c r="T113" s="420"/>
      <c r="U113" s="420"/>
      <c r="V113" s="420"/>
      <c r="W113" s="420"/>
      <c r="X113" s="420"/>
      <c r="Y113" s="420"/>
      <c r="Z113" s="420"/>
      <c r="AA113" s="420"/>
      <c r="AB113" s="420"/>
      <c r="AC113" s="420"/>
      <c r="AD113" s="432"/>
      <c r="AE113" s="388"/>
      <c r="AF113" s="431"/>
      <c r="AG113" s="420"/>
      <c r="AH113" s="420"/>
      <c r="AI113" s="420"/>
      <c r="AJ113" s="420"/>
      <c r="AK113" s="420"/>
      <c r="AL113" s="420"/>
      <c r="AM113" s="420"/>
      <c r="AN113" s="420"/>
      <c r="AO113" s="420"/>
      <c r="AP113" s="420"/>
      <c r="AQ113" s="420"/>
      <c r="AR113" s="420"/>
      <c r="AS113" s="420"/>
      <c r="AT113" s="420"/>
      <c r="AU113" s="420"/>
      <c r="AV113" s="43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c r="DQ113" s="342"/>
      <c r="DR113" s="342"/>
      <c r="DS113" s="342"/>
      <c r="DT113" s="342"/>
      <c r="DU113" s="342"/>
      <c r="DV113" s="342"/>
      <c r="DW113" s="342"/>
      <c r="DX113" s="342"/>
      <c r="DY113" s="342"/>
      <c r="DZ113" s="342"/>
      <c r="EA113" s="342"/>
      <c r="EB113" s="342"/>
      <c r="EC113" s="342"/>
      <c r="ED113" s="342"/>
      <c r="EE113" s="342"/>
      <c r="EF113" s="342"/>
    </row>
    <row r="114" spans="1:136" outlineLevel="1" x14ac:dyDescent="0.25">
      <c r="B114" s="435" t="s">
        <v>799</v>
      </c>
      <c r="C114" s="425"/>
      <c r="D114" s="425"/>
      <c r="E114" s="425"/>
      <c r="F114" s="425"/>
      <c r="G114" s="425"/>
      <c r="H114" s="425"/>
      <c r="I114" s="436">
        <v>30</v>
      </c>
      <c r="J114" s="449" t="s">
        <v>2</v>
      </c>
      <c r="K114" s="302">
        <f>I114/100*$G$112</f>
        <v>0.16814999999999999</v>
      </c>
      <c r="L114" s="428" t="s">
        <v>1</v>
      </c>
      <c r="M114" s="342"/>
      <c r="N114" s="437">
        <f>IF(B114&lt;&gt;0,VLOOKUP(B114,GENERALITES!$B$68:$D$71,3,FALSE),"")</f>
        <v>4000</v>
      </c>
      <c r="O114" s="427" t="s">
        <v>0</v>
      </c>
      <c r="P114" s="438"/>
      <c r="Q114" s="438"/>
      <c r="R114" s="438"/>
      <c r="S114" s="438"/>
      <c r="T114" s="438"/>
      <c r="U114" s="438"/>
      <c r="V114" s="438"/>
      <c r="W114" s="438"/>
      <c r="X114" s="438"/>
      <c r="Y114" s="438"/>
      <c r="Z114" s="438"/>
      <c r="AA114" s="438"/>
      <c r="AB114" s="438"/>
      <c r="AC114" s="420"/>
      <c r="AD114" s="432"/>
      <c r="AE114" s="388"/>
      <c r="AF114" s="437">
        <f>IF(B114&lt;&gt;0,VLOOKUP(B114,GENERALITES!$B$68:$N$71,12,FALSE),"")</f>
        <v>4.5999999999999999E-2</v>
      </c>
      <c r="AG114" s="427" t="s">
        <v>20</v>
      </c>
      <c r="AH114" s="420"/>
      <c r="AI114" s="420"/>
      <c r="AJ114" s="420"/>
      <c r="AK114" s="420"/>
      <c r="AL114" s="420"/>
      <c r="AM114" s="420"/>
      <c r="AN114" s="420"/>
      <c r="AO114" s="420"/>
      <c r="AP114" s="420"/>
      <c r="AQ114" s="420"/>
      <c r="AR114" s="420"/>
      <c r="AS114" s="420"/>
      <c r="AT114" s="420"/>
      <c r="AU114" s="420"/>
      <c r="AV114" s="432"/>
    </row>
    <row r="115" spans="1:136" outlineLevel="1" x14ac:dyDescent="0.25">
      <c r="B115" s="435" t="s">
        <v>800</v>
      </c>
      <c r="C115" s="425"/>
      <c r="D115" s="425"/>
      <c r="E115" s="425"/>
      <c r="F115" s="425"/>
      <c r="G115" s="425"/>
      <c r="H115" s="425"/>
      <c r="I115" s="436">
        <v>70</v>
      </c>
      <c r="J115" s="449" t="s">
        <v>2</v>
      </c>
      <c r="K115" s="302">
        <f>I115/100*$G$112</f>
        <v>0.39234999999999998</v>
      </c>
      <c r="L115" s="428" t="s">
        <v>1</v>
      </c>
      <c r="M115" s="342"/>
      <c r="N115" s="437">
        <f>IF(B115&lt;&gt;0,VLOOKUP(B115,GENERALITES!$B$68:$D$71,3,FALSE),"")</f>
        <v>-6000</v>
      </c>
      <c r="O115" s="427" t="s">
        <v>0</v>
      </c>
      <c r="P115" s="438"/>
      <c r="Q115" s="438"/>
      <c r="R115" s="438"/>
      <c r="S115" s="438"/>
      <c r="T115" s="438"/>
      <c r="U115" s="438"/>
      <c r="V115" s="438"/>
      <c r="W115" s="438"/>
      <c r="X115" s="438"/>
      <c r="Y115" s="438"/>
      <c r="Z115" s="438"/>
      <c r="AA115" s="438"/>
      <c r="AB115" s="438"/>
      <c r="AC115" s="420"/>
      <c r="AD115" s="432"/>
      <c r="AE115" s="388"/>
      <c r="AF115" s="437">
        <f>IF(B115&lt;&gt;0,VLOOKUP(B115,GENERALITES!$B$68:$N$71,12,FALSE),"")</f>
        <v>2.41E-5</v>
      </c>
      <c r="AG115" s="427" t="s">
        <v>20</v>
      </c>
      <c r="AH115" s="420"/>
      <c r="AI115" s="420"/>
      <c r="AJ115" s="420"/>
      <c r="AK115" s="420"/>
      <c r="AL115" s="420"/>
      <c r="AM115" s="420"/>
      <c r="AN115" s="420"/>
      <c r="AO115" s="420"/>
      <c r="AP115" s="420"/>
      <c r="AQ115" s="420"/>
      <c r="AR115" s="420"/>
      <c r="AS115" s="420"/>
      <c r="AT115" s="420"/>
      <c r="AU115" s="420"/>
      <c r="AV115" s="432"/>
    </row>
    <row r="116" spans="1:136" outlineLevel="1" x14ac:dyDescent="0.25">
      <c r="B116" s="435"/>
      <c r="C116" s="425"/>
      <c r="D116" s="425"/>
      <c r="E116" s="425"/>
      <c r="F116" s="425"/>
      <c r="G116" s="425"/>
      <c r="H116" s="425"/>
      <c r="I116" s="436"/>
      <c r="J116" s="449" t="s">
        <v>2</v>
      </c>
      <c r="K116" s="302">
        <f>I116/100*$G$112</f>
        <v>0</v>
      </c>
      <c r="L116" s="428" t="s">
        <v>1</v>
      </c>
      <c r="M116" s="342"/>
      <c r="N116" s="437" t="str">
        <f>IF(B116&lt;&gt;0,VLOOKUP(B116,GENERALITES!$B$68:$D$71,3,FALSE),"")</f>
        <v/>
      </c>
      <c r="O116" s="427" t="s">
        <v>0</v>
      </c>
      <c r="P116" s="438"/>
      <c r="Q116" s="438"/>
      <c r="R116" s="438"/>
      <c r="S116" s="438"/>
      <c r="T116" s="438"/>
      <c r="U116" s="438"/>
      <c r="V116" s="438"/>
      <c r="W116" s="438"/>
      <c r="X116" s="438"/>
      <c r="Y116" s="438"/>
      <c r="Z116" s="438"/>
      <c r="AA116" s="438"/>
      <c r="AB116" s="438"/>
      <c r="AC116" s="420"/>
      <c r="AD116" s="432"/>
      <c r="AE116" s="388"/>
      <c r="AF116" s="437" t="str">
        <f>IF(B116&lt;&gt;0,VLOOKUP(B116,GENERALITES!$B$68:$N$71,12,FALSE),"")</f>
        <v/>
      </c>
      <c r="AG116" s="427" t="s">
        <v>20</v>
      </c>
      <c r="AH116" s="420"/>
      <c r="AI116" s="420"/>
      <c r="AJ116" s="420"/>
      <c r="AK116" s="420"/>
      <c r="AL116" s="420"/>
      <c r="AM116" s="420"/>
      <c r="AN116" s="420"/>
      <c r="AO116" s="420"/>
      <c r="AP116" s="420"/>
      <c r="AQ116" s="420"/>
      <c r="AR116" s="420"/>
      <c r="AS116" s="420"/>
      <c r="AT116" s="420"/>
      <c r="AU116" s="420"/>
      <c r="AV116" s="432"/>
    </row>
    <row r="117" spans="1:136" outlineLevel="1" x14ac:dyDescent="0.25">
      <c r="B117" s="435"/>
      <c r="C117" s="425"/>
      <c r="D117" s="425"/>
      <c r="E117" s="425"/>
      <c r="F117" s="425"/>
      <c r="G117" s="425"/>
      <c r="H117" s="425"/>
      <c r="I117" s="436"/>
      <c r="J117" s="449" t="s">
        <v>2</v>
      </c>
      <c r="K117" s="302">
        <f>I117/100*$G$112</f>
        <v>0</v>
      </c>
      <c r="L117" s="428" t="s">
        <v>1</v>
      </c>
      <c r="M117" s="342"/>
      <c r="N117" s="437" t="str">
        <f>IF(B117&lt;&gt;0,VLOOKUP(B117,GENERALITES!$B$68:$D$71,3,FALSE),"")</f>
        <v/>
      </c>
      <c r="O117" s="427" t="s">
        <v>0</v>
      </c>
      <c r="P117" s="438"/>
      <c r="Q117" s="438"/>
      <c r="R117" s="438"/>
      <c r="S117" s="438"/>
      <c r="T117" s="438"/>
      <c r="U117" s="438"/>
      <c r="V117" s="438"/>
      <c r="W117" s="438"/>
      <c r="X117" s="438"/>
      <c r="Y117" s="438"/>
      <c r="Z117" s="438"/>
      <c r="AA117" s="438"/>
      <c r="AB117" s="438"/>
      <c r="AC117" s="420"/>
      <c r="AD117" s="432"/>
      <c r="AE117" s="388"/>
      <c r="AF117" s="437" t="str">
        <f>IF(B117&lt;&gt;0,VLOOKUP(B117,GENERALITES!$B$68:$N$71,12,FALSE),"")</f>
        <v/>
      </c>
      <c r="AG117" s="427" t="s">
        <v>20</v>
      </c>
      <c r="AH117" s="420"/>
      <c r="AI117" s="420"/>
      <c r="AJ117" s="420"/>
      <c r="AK117" s="420"/>
      <c r="AL117" s="420"/>
      <c r="AM117" s="420"/>
      <c r="AN117" s="420"/>
      <c r="AO117" s="420"/>
      <c r="AP117" s="420"/>
      <c r="AQ117" s="420"/>
      <c r="AR117" s="420"/>
      <c r="AS117" s="420"/>
      <c r="AT117" s="420"/>
      <c r="AU117" s="420"/>
      <c r="AV117" s="432"/>
    </row>
    <row r="118" spans="1:136" ht="15.75" thickBot="1" x14ac:dyDescent="0.3">
      <c r="A118" s="440"/>
      <c r="B118" s="477"/>
      <c r="C118" s="478"/>
      <c r="D118" s="478"/>
      <c r="E118" s="478"/>
      <c r="F118" s="478"/>
      <c r="G118" s="478"/>
      <c r="H118" s="478"/>
      <c r="I118" s="478"/>
      <c r="J118" s="478"/>
      <c r="K118" s="478"/>
      <c r="L118" s="479"/>
      <c r="M118" s="440"/>
      <c r="N118" s="477"/>
      <c r="O118" s="478"/>
      <c r="P118" s="478"/>
      <c r="Q118" s="478"/>
      <c r="R118" s="478"/>
      <c r="S118" s="478"/>
      <c r="T118" s="478"/>
      <c r="U118" s="478"/>
      <c r="V118" s="478"/>
      <c r="W118" s="478"/>
      <c r="X118" s="478"/>
      <c r="Y118" s="478"/>
      <c r="Z118" s="478"/>
      <c r="AA118" s="478"/>
      <c r="AB118" s="478"/>
      <c r="AC118" s="478"/>
      <c r="AD118" s="479"/>
      <c r="AE118" s="440"/>
      <c r="AF118" s="444"/>
      <c r="AG118" s="445"/>
      <c r="AH118" s="445"/>
      <c r="AI118" s="445"/>
      <c r="AJ118" s="445"/>
      <c r="AK118" s="445"/>
      <c r="AL118" s="445"/>
      <c r="AM118" s="445"/>
      <c r="AN118" s="445"/>
      <c r="AO118" s="445"/>
      <c r="AP118" s="445"/>
      <c r="AQ118" s="445"/>
      <c r="AR118" s="445"/>
      <c r="AS118" s="445"/>
      <c r="AT118" s="445"/>
      <c r="AU118" s="445"/>
      <c r="AV118" s="446"/>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row>
    <row r="119" spans="1:136" ht="30" customHeight="1" thickBot="1" x14ac:dyDescent="0.3">
      <c r="A119" s="388"/>
      <c r="B119" s="499" t="s">
        <v>38</v>
      </c>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1"/>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2"/>
      <c r="DU119" s="342"/>
      <c r="DV119" s="342"/>
      <c r="DW119" s="342"/>
      <c r="DX119" s="342"/>
      <c r="DY119" s="342"/>
      <c r="DZ119" s="342"/>
      <c r="EA119" s="342"/>
      <c r="EB119" s="342"/>
      <c r="EC119" s="342"/>
      <c r="ED119" s="342"/>
      <c r="EE119" s="342"/>
      <c r="EF119" s="342"/>
    </row>
    <row r="120" spans="1:136" ht="15.75" outlineLevel="1" thickBot="1" x14ac:dyDescent="0.3"/>
    <row r="121" spans="1:136" ht="15" customHeight="1" outlineLevel="1" x14ac:dyDescent="0.25">
      <c r="B121" s="526" t="s">
        <v>58</v>
      </c>
      <c r="C121" s="527"/>
      <c r="D121" s="342"/>
      <c r="E121" s="399" t="s">
        <v>57</v>
      </c>
      <c r="F121" s="493"/>
      <c r="G121" s="493"/>
      <c r="H121" s="493"/>
      <c r="I121" s="493"/>
      <c r="J121" s="493"/>
      <c r="K121" s="493"/>
      <c r="L121" s="400"/>
      <c r="M121" s="433"/>
      <c r="N121" s="399" t="s">
        <v>61</v>
      </c>
      <c r="O121" s="493"/>
      <c r="P121" s="493"/>
      <c r="Q121" s="493"/>
      <c r="R121" s="493"/>
      <c r="S121" s="493"/>
      <c r="T121" s="493"/>
      <c r="U121" s="493"/>
      <c r="V121" s="493"/>
      <c r="W121" s="493"/>
      <c r="X121" s="493"/>
      <c r="Y121" s="493"/>
      <c r="Z121" s="493"/>
      <c r="AA121" s="493"/>
      <c r="AB121" s="493"/>
      <c r="AC121" s="493"/>
      <c r="AD121" s="400"/>
      <c r="AE121" s="420"/>
      <c r="AF121" s="399" t="s">
        <v>60</v>
      </c>
      <c r="AG121" s="493"/>
      <c r="AH121" s="493"/>
      <c r="AI121" s="493"/>
      <c r="AJ121" s="493"/>
      <c r="AK121" s="493"/>
      <c r="AL121" s="493"/>
      <c r="AM121" s="493"/>
      <c r="AN121" s="493"/>
      <c r="AO121" s="493"/>
      <c r="AP121" s="493"/>
      <c r="AQ121" s="493"/>
      <c r="AR121" s="493"/>
      <c r="AS121" s="493"/>
      <c r="AT121" s="493"/>
      <c r="AU121" s="493"/>
      <c r="AV121" s="400"/>
      <c r="AW121" s="342"/>
      <c r="AX121" s="342"/>
      <c r="AY121" s="342"/>
      <c r="AZ121" s="342"/>
      <c r="BA121" s="342"/>
      <c r="BB121" s="342"/>
      <c r="BC121" s="342"/>
      <c r="BD121" s="342"/>
      <c r="BE121" s="342"/>
      <c r="BF121" s="342"/>
      <c r="BG121" s="342"/>
      <c r="BH121" s="342"/>
      <c r="BI121" s="342"/>
    </row>
    <row r="122" spans="1:136" ht="43.5" customHeight="1" outlineLevel="1" x14ac:dyDescent="0.25">
      <c r="B122" s="528" t="s">
        <v>583</v>
      </c>
      <c r="C122" s="529"/>
      <c r="D122" s="342"/>
      <c r="E122" s="269" t="s">
        <v>584</v>
      </c>
      <c r="F122" s="270"/>
      <c r="G122" s="422" t="s">
        <v>55</v>
      </c>
      <c r="H122" s="270"/>
      <c r="I122" s="422" t="s">
        <v>558</v>
      </c>
      <c r="J122" s="270"/>
      <c r="K122" s="422" t="s">
        <v>59</v>
      </c>
      <c r="L122" s="401"/>
      <c r="M122" s="420"/>
      <c r="N122" s="471"/>
      <c r="O122" s="425"/>
      <c r="P122" s="422" t="s">
        <v>353</v>
      </c>
      <c r="Q122" s="270"/>
      <c r="R122" s="425"/>
      <c r="S122" s="425"/>
      <c r="T122" s="425"/>
      <c r="U122" s="422" t="s">
        <v>115</v>
      </c>
      <c r="V122" s="270"/>
      <c r="W122" s="425"/>
      <c r="X122" s="422" t="s">
        <v>497</v>
      </c>
      <c r="Y122" s="270"/>
      <c r="Z122" s="422" t="s">
        <v>498</v>
      </c>
      <c r="AA122" s="270"/>
      <c r="AB122" s="425"/>
      <c r="AC122" s="422" t="s">
        <v>354</v>
      </c>
      <c r="AD122" s="401"/>
      <c r="AE122" s="433"/>
      <c r="AF122" s="471"/>
      <c r="AG122" s="425"/>
      <c r="AH122" s="422" t="s">
        <v>355</v>
      </c>
      <c r="AI122" s="270"/>
      <c r="AJ122" s="425"/>
      <c r="AK122" s="425"/>
      <c r="AL122" s="425"/>
      <c r="AM122" s="422" t="s">
        <v>116</v>
      </c>
      <c r="AN122" s="270"/>
      <c r="AO122" s="425"/>
      <c r="AP122" s="422" t="s">
        <v>356</v>
      </c>
      <c r="AQ122" s="270"/>
      <c r="AR122" s="422" t="s">
        <v>357</v>
      </c>
      <c r="AS122" s="270"/>
      <c r="AT122" s="425"/>
      <c r="AU122" s="422" t="s">
        <v>358</v>
      </c>
      <c r="AV122" s="401"/>
      <c r="AW122" s="342"/>
      <c r="AX122" s="342"/>
      <c r="AY122" s="342"/>
      <c r="AZ122" s="342"/>
      <c r="BA122" s="342"/>
      <c r="BB122" s="342"/>
      <c r="BC122" s="342"/>
      <c r="BD122" s="342"/>
      <c r="BE122" s="342"/>
      <c r="BF122" s="342"/>
      <c r="BG122" s="342"/>
      <c r="BH122" s="342"/>
      <c r="BI122" s="342"/>
    </row>
    <row r="123" spans="1:136" ht="15.75" outlineLevel="1" thickBot="1" x14ac:dyDescent="0.3">
      <c r="B123" s="530">
        <f>C16</f>
        <v>5.5600000000000005</v>
      </c>
      <c r="C123" s="446" t="s">
        <v>1</v>
      </c>
      <c r="D123" s="342"/>
      <c r="E123" s="408">
        <f>E16</f>
        <v>5.5600000000000005</v>
      </c>
      <c r="F123" s="410" t="s">
        <v>1</v>
      </c>
      <c r="G123" s="411">
        <f>G16</f>
        <v>0.5605</v>
      </c>
      <c r="H123" s="410" t="s">
        <v>1</v>
      </c>
      <c r="I123" s="411">
        <f>I16</f>
        <v>0.5605</v>
      </c>
      <c r="J123" s="410" t="s">
        <v>1</v>
      </c>
      <c r="K123" s="411">
        <f>K16</f>
        <v>10.080935251798561</v>
      </c>
      <c r="L123" s="409" t="s">
        <v>2</v>
      </c>
      <c r="M123" s="420"/>
      <c r="N123" s="494"/>
      <c r="O123" s="495"/>
      <c r="P123" s="411">
        <f>P31+P46+P58+P70+P82+P94</f>
        <v>5056.3999999999996</v>
      </c>
      <c r="Q123" s="496" t="s">
        <v>6</v>
      </c>
      <c r="R123" s="495"/>
      <c r="S123" s="495"/>
      <c r="T123" s="495"/>
      <c r="U123" s="411">
        <f>U16+U31+U46+U58+U70+U82+U94</f>
        <v>70770.392113871538</v>
      </c>
      <c r="V123" s="496" t="s">
        <v>6</v>
      </c>
      <c r="W123" s="495"/>
      <c r="X123" s="411">
        <f>X16+X31+X46+X58+X70+X82+X94</f>
        <v>75826.792113871546</v>
      </c>
      <c r="Y123" s="410" t="s">
        <v>6</v>
      </c>
      <c r="Z123" s="497">
        <f>Z16+Z31+Z46+Z58+Z70+Z82+Z94</f>
        <v>13637.912250696318</v>
      </c>
      <c r="AA123" s="410" t="s">
        <v>72</v>
      </c>
      <c r="AB123" s="495"/>
      <c r="AC123" s="411">
        <f>AC16+AC31+AC46+AC58+AC70+AC82+AC94+AC106+AC112</f>
        <v>6138.4218129181654</v>
      </c>
      <c r="AD123" s="409" t="s">
        <v>6</v>
      </c>
      <c r="AE123" s="433"/>
      <c r="AF123" s="494"/>
      <c r="AG123" s="495"/>
      <c r="AH123" s="497">
        <f>AH31+AH46+AH58+AH70</f>
        <v>0.70917000000000008</v>
      </c>
      <c r="AI123" s="410" t="s">
        <v>21</v>
      </c>
      <c r="AJ123" s="495"/>
      <c r="AK123" s="495"/>
      <c r="AL123" s="495"/>
      <c r="AM123" s="497">
        <f>AM16+AM31+AM46+AM58+AM70</f>
        <v>197.2231776721155</v>
      </c>
      <c r="AN123" s="410" t="s">
        <v>21</v>
      </c>
      <c r="AO123" s="495"/>
      <c r="AP123" s="497">
        <f>AP16+AP31+AP46+AP58+AP70</f>
        <v>197.9323476721155</v>
      </c>
      <c r="AQ123" s="410" t="s">
        <v>21</v>
      </c>
      <c r="AR123" s="497">
        <f>AR16+AR31+AR46+AR58+AR70</f>
        <v>35.599343106495589</v>
      </c>
      <c r="AS123" s="410" t="s">
        <v>73</v>
      </c>
      <c r="AT123" s="495"/>
      <c r="AU123" s="411">
        <f>AU16+AU31+AU46+AU58+AU70+AU112</f>
        <v>19.937166403336569</v>
      </c>
      <c r="AV123" s="409" t="s">
        <v>21</v>
      </c>
      <c r="AW123" s="342"/>
      <c r="AX123" s="342"/>
      <c r="AY123" s="342"/>
      <c r="AZ123" s="342"/>
      <c r="BA123" s="342"/>
      <c r="BB123" s="342"/>
      <c r="BC123" s="342"/>
      <c r="BD123" s="342"/>
      <c r="BE123" s="342"/>
      <c r="BF123" s="342"/>
      <c r="BG123" s="342"/>
      <c r="BH123" s="342"/>
      <c r="BI123" s="342"/>
    </row>
    <row r="124" spans="1:136"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row>
    <row r="125" spans="1:136" x14ac:dyDescent="0.25">
      <c r="E125" s="342"/>
      <c r="F125" s="342"/>
      <c r="G125" s="342"/>
      <c r="H125" s="342"/>
      <c r="I125" s="342"/>
      <c r="J125" s="342"/>
      <c r="K125" s="342"/>
      <c r="L125" s="342"/>
    </row>
    <row r="126" spans="1:136" x14ac:dyDescent="0.25">
      <c r="E126" s="342"/>
      <c r="F126" s="342"/>
      <c r="G126" s="342"/>
      <c r="H126" s="342"/>
      <c r="I126" s="342"/>
      <c r="J126" s="342"/>
      <c r="K126" s="342"/>
      <c r="L126" s="342"/>
    </row>
    <row r="127" spans="1:136" x14ac:dyDescent="0.25">
      <c r="E127" s="342"/>
      <c r="F127" s="342"/>
      <c r="G127" s="342"/>
      <c r="H127" s="342"/>
      <c r="I127" s="342"/>
      <c r="J127" s="342"/>
      <c r="K127" s="342"/>
      <c r="L127" s="342"/>
    </row>
    <row r="129" spans="2:12" x14ac:dyDescent="0.25">
      <c r="B129" s="342"/>
      <c r="C129" s="342"/>
      <c r="D129" s="342"/>
      <c r="E129" s="342"/>
      <c r="F129" s="342"/>
      <c r="G129" s="342"/>
      <c r="H129" s="342"/>
      <c r="I129" s="342"/>
      <c r="J129" s="342"/>
      <c r="K129" s="342"/>
      <c r="L129" s="342"/>
    </row>
    <row r="130" spans="2:12" x14ac:dyDescent="0.25">
      <c r="B130" s="342"/>
      <c r="C130" s="342"/>
      <c r="D130" s="342"/>
      <c r="E130" s="342"/>
      <c r="F130" s="342"/>
      <c r="G130" s="342"/>
      <c r="H130" s="342"/>
      <c r="I130" s="342"/>
      <c r="J130" s="342"/>
      <c r="K130" s="342"/>
      <c r="L130" s="342"/>
    </row>
    <row r="131" spans="2:12" x14ac:dyDescent="0.25">
      <c r="B131" s="342"/>
      <c r="C131" s="342"/>
      <c r="D131" s="342"/>
      <c r="E131" s="342"/>
      <c r="F131" s="342"/>
      <c r="G131" s="342"/>
      <c r="H131" s="342"/>
      <c r="I131" s="342"/>
      <c r="J131" s="342"/>
      <c r="K131" s="342"/>
      <c r="L131" s="342"/>
    </row>
  </sheetData>
  <sheetProtection algorithmName="SHA-512" hashValue="Yyh7y6mpHe+cvmx8NFG8pE1gyxZCj1dadTSCdJycQzqfRGc/o7dO4nwHuSKvnJnkmz5bOzgKoywXuB+r7aBFdg==" saltValue="IxG5VotqEkzkqCIE7MWieQ==" spinCount="100000" sheet="1" objects="1" scenarios="1"/>
  <mergeCells count="178">
    <mergeCell ref="B1:G1"/>
    <mergeCell ref="B122:C122"/>
    <mergeCell ref="E122:F122"/>
    <mergeCell ref="G122:H122"/>
    <mergeCell ref="I122:J122"/>
    <mergeCell ref="K122:L122"/>
    <mergeCell ref="P122:Q122"/>
    <mergeCell ref="U122:V122"/>
    <mergeCell ref="AU122:AV122"/>
    <mergeCell ref="X122:Y122"/>
    <mergeCell ref="Z122:AA122"/>
    <mergeCell ref="AC122:AD122"/>
    <mergeCell ref="AH122:AI122"/>
    <mergeCell ref="AM122:AN122"/>
    <mergeCell ref="AP122:AQ122"/>
    <mergeCell ref="AR122:AS122"/>
    <mergeCell ref="B111:B112"/>
    <mergeCell ref="I111:L111"/>
    <mergeCell ref="N111:O111"/>
    <mergeCell ref="AC111:AD111"/>
    <mergeCell ref="AF111:AG111"/>
    <mergeCell ref="AU111:AV111"/>
    <mergeCell ref="N121:AD121"/>
    <mergeCell ref="AF121:AV121"/>
    <mergeCell ref="B119:AV119"/>
    <mergeCell ref="B121:C121"/>
    <mergeCell ref="E121:L121"/>
    <mergeCell ref="G111:H111"/>
    <mergeCell ref="B102:AV102"/>
    <mergeCell ref="B104:L104"/>
    <mergeCell ref="N104:AD104"/>
    <mergeCell ref="I105:L105"/>
    <mergeCell ref="N105:O105"/>
    <mergeCell ref="AC105:AD105"/>
    <mergeCell ref="B108:AV108"/>
    <mergeCell ref="B110:L110"/>
    <mergeCell ref="N110:AD110"/>
    <mergeCell ref="AF110:AV110"/>
    <mergeCell ref="G105:H105"/>
    <mergeCell ref="B78:H78"/>
    <mergeCell ref="B80:L80"/>
    <mergeCell ref="N80:AD80"/>
    <mergeCell ref="G81:H81"/>
    <mergeCell ref="I81:L81"/>
    <mergeCell ref="N81:O81"/>
    <mergeCell ref="P81:Q81"/>
    <mergeCell ref="S81:T81"/>
    <mergeCell ref="U81:V81"/>
    <mergeCell ref="X81:Y81"/>
    <mergeCell ref="Z81:AA81"/>
    <mergeCell ref="AC81:AD81"/>
    <mergeCell ref="B66:H66"/>
    <mergeCell ref="B68:L68"/>
    <mergeCell ref="N68:AD68"/>
    <mergeCell ref="AF68:AV68"/>
    <mergeCell ref="AC57:AD57"/>
    <mergeCell ref="AF57:AG57"/>
    <mergeCell ref="AR69:AS69"/>
    <mergeCell ref="AU69:AV69"/>
    <mergeCell ref="G72:H72"/>
    <mergeCell ref="U69:V69"/>
    <mergeCell ref="X69:Y69"/>
    <mergeCell ref="Z69:AA69"/>
    <mergeCell ref="AC69:AD69"/>
    <mergeCell ref="AF69:AG69"/>
    <mergeCell ref="AH69:AI69"/>
    <mergeCell ref="AK69:AL69"/>
    <mergeCell ref="AM69:AN69"/>
    <mergeCell ref="AP69:AQ69"/>
    <mergeCell ref="G84:H84"/>
    <mergeCell ref="B90:AV90"/>
    <mergeCell ref="B92:L92"/>
    <mergeCell ref="N92:AD92"/>
    <mergeCell ref="G93:H93"/>
    <mergeCell ref="I93:L93"/>
    <mergeCell ref="N93:O93"/>
    <mergeCell ref="P93:Q93"/>
    <mergeCell ref="S93:T93"/>
    <mergeCell ref="U93:V93"/>
    <mergeCell ref="X93:Y93"/>
    <mergeCell ref="Z93:AA93"/>
    <mergeCell ref="AC93:AD93"/>
    <mergeCell ref="B54:H54"/>
    <mergeCell ref="B56:L56"/>
    <mergeCell ref="N56:AD56"/>
    <mergeCell ref="AF56:AV56"/>
    <mergeCell ref="G69:H69"/>
    <mergeCell ref="I69:L69"/>
    <mergeCell ref="N69:O69"/>
    <mergeCell ref="P69:Q69"/>
    <mergeCell ref="S69:T69"/>
    <mergeCell ref="G57:H57"/>
    <mergeCell ref="I57:L57"/>
    <mergeCell ref="N57:O57"/>
    <mergeCell ref="P57:Q57"/>
    <mergeCell ref="S57:T57"/>
    <mergeCell ref="U57:V57"/>
    <mergeCell ref="X57:Y57"/>
    <mergeCell ref="Z57:AA57"/>
    <mergeCell ref="AH57:AI57"/>
    <mergeCell ref="AK57:AL57"/>
    <mergeCell ref="AM57:AN57"/>
    <mergeCell ref="AP57:AQ57"/>
    <mergeCell ref="AR57:AS57"/>
    <mergeCell ref="AU57:AV57"/>
    <mergeCell ref="G60:H60"/>
    <mergeCell ref="B42:H42"/>
    <mergeCell ref="B44:L44"/>
    <mergeCell ref="N44:AD44"/>
    <mergeCell ref="AF44:AV44"/>
    <mergeCell ref="G45:H45"/>
    <mergeCell ref="I45:L45"/>
    <mergeCell ref="N45:O45"/>
    <mergeCell ref="P45:Q45"/>
    <mergeCell ref="S45:T45"/>
    <mergeCell ref="U45:V45"/>
    <mergeCell ref="AM45:AN45"/>
    <mergeCell ref="AP45:AQ45"/>
    <mergeCell ref="AR45:AS45"/>
    <mergeCell ref="AU45:AV45"/>
    <mergeCell ref="AC45:AD45"/>
    <mergeCell ref="AF45:AG45"/>
    <mergeCell ref="AH45:AI45"/>
    <mergeCell ref="AK45:AL45"/>
    <mergeCell ref="X45:Y45"/>
    <mergeCell ref="Z45:AA45"/>
    <mergeCell ref="AK30:AL30"/>
    <mergeCell ref="AM30:AN30"/>
    <mergeCell ref="AP30:AQ30"/>
    <mergeCell ref="AR30:AS30"/>
    <mergeCell ref="AU30:AV30"/>
    <mergeCell ref="B40:AV40"/>
    <mergeCell ref="U30:V30"/>
    <mergeCell ref="X30:Y30"/>
    <mergeCell ref="Z30:AA30"/>
    <mergeCell ref="AC30:AD30"/>
    <mergeCell ref="AF30:AG30"/>
    <mergeCell ref="AH30:AI30"/>
    <mergeCell ref="B30:B31"/>
    <mergeCell ref="G30:H30"/>
    <mergeCell ref="I30:L30"/>
    <mergeCell ref="N30:O30"/>
    <mergeCell ref="P30:Q30"/>
    <mergeCell ref="S30:T30"/>
    <mergeCell ref="AP15:AQ15"/>
    <mergeCell ref="AR15:AS15"/>
    <mergeCell ref="AU15:AV15"/>
    <mergeCell ref="B27:AV27"/>
    <mergeCell ref="B29:L29"/>
    <mergeCell ref="N29:AD29"/>
    <mergeCell ref="AF29:AV29"/>
    <mergeCell ref="U15:V15"/>
    <mergeCell ref="X15:Y15"/>
    <mergeCell ref="Z15:AA15"/>
    <mergeCell ref="AC15:AD15"/>
    <mergeCell ref="AK15:AL15"/>
    <mergeCell ref="AM15:AN15"/>
    <mergeCell ref="B15:B16"/>
    <mergeCell ref="C15:D15"/>
    <mergeCell ref="S15:T15"/>
    <mergeCell ref="E15:F15"/>
    <mergeCell ref="G15:H15"/>
    <mergeCell ref="I15:J15"/>
    <mergeCell ref="K15:L15"/>
    <mergeCell ref="N2:Z4"/>
    <mergeCell ref="B12:AV12"/>
    <mergeCell ref="B14:L14"/>
    <mergeCell ref="N14:AD14"/>
    <mergeCell ref="AF14:AV14"/>
    <mergeCell ref="B6:AV6"/>
    <mergeCell ref="B8:C8"/>
    <mergeCell ref="B9:C9"/>
    <mergeCell ref="E9:F9"/>
    <mergeCell ref="G9:H9"/>
    <mergeCell ref="I9:J9"/>
    <mergeCell ref="E8:J8"/>
    <mergeCell ref="N9:O9"/>
    <mergeCell ref="B4:L4"/>
  </mergeCells>
  <conditionalFormatting sqref="N10">
    <cfRule type="expression" dxfId="51" priority="1">
      <formula>IF($N$10&gt;100,TRUE,FALSE)</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1CFC3FB-0E20-4107-B888-294705B85D6B}">
            <xm:f>IF($B$46=Annexes!$B$3,TRUE,FALSE)</xm:f>
            <x14:dxf>
              <fill>
                <patternFill>
                  <bgColor theme="7" tint="0.79998168889431442"/>
                </patternFill>
              </fill>
            </x14:dxf>
          </x14:cfRule>
          <xm:sqref>G46</xm:sqref>
        </x14:conditionalFormatting>
        <x14:conditionalFormatting xmlns:xm="http://schemas.microsoft.com/office/excel/2006/main">
          <x14:cfRule type="expression" priority="4" id="{4A28E15F-A2AA-45D0-AE37-C27AE3A21181}">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3" id="{515C310D-9E1F-41F2-9DF8-9CDE8EBA972C}">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5" id="{F21B589E-8EA6-4F8B-A727-8A2B86B77723}">
            <xm:f>IF($B$58=Annexes!$B$3,TRUE,FALSE)</xm:f>
            <x14:dxf>
              <fill>
                <patternFill>
                  <bgColor theme="7" tint="0.79998168889431442"/>
                </patternFill>
              </fill>
            </x14:dxf>
          </x14:cfRule>
          <xm:sqref>G58</xm:sqref>
        </x14:conditionalFormatting>
        <x14:conditionalFormatting xmlns:xm="http://schemas.microsoft.com/office/excel/2006/main">
          <x14:cfRule type="expression" priority="7" id="{3AE66F5E-D72B-4C4B-BF95-22996DB43464}">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6" id="{65C79A8A-E508-4AAB-966E-1E9E4D3F045A}">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8" id="{430A72CF-F76E-4679-896C-3268C1249402}">
            <xm:f>IF($B$70=Annexes!$B$3,TRUE,FALSE)</xm:f>
            <x14:dxf>
              <fill>
                <patternFill>
                  <bgColor theme="7" tint="0.79998168889431442"/>
                </patternFill>
              </fill>
            </x14:dxf>
          </x14:cfRule>
          <xm:sqref>G70</xm:sqref>
        </x14:conditionalFormatting>
        <x14:conditionalFormatting xmlns:xm="http://schemas.microsoft.com/office/excel/2006/main">
          <x14:cfRule type="expression" priority="10" id="{05F89A82-4762-4D45-A1B6-3A111FCBF660}">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9" id="{73B6FA80-CDA8-4041-B522-AD4317989B82}">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11" id="{EC14CA10-607E-43E2-A338-29473B15FACC}">
            <xm:f>IF($B$82=Annexes!$B$3,TRUE,FALSE)</xm:f>
            <x14:dxf>
              <fill>
                <patternFill>
                  <bgColor theme="7" tint="0.79998168889431442"/>
                </patternFill>
              </fill>
            </x14:dxf>
          </x14:cfRule>
          <xm:sqref>G82</xm:sqref>
        </x14:conditionalFormatting>
        <x14:conditionalFormatting xmlns:xm="http://schemas.microsoft.com/office/excel/2006/main">
          <x14:cfRule type="expression" priority="13" id="{5FC04804-785D-40CE-A1F5-922A8BC13459}">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12" id="{F4344233-9B90-4FAF-ACB0-BBC0F2196682}">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14" id="{7E7C0466-DCDE-4B5D-BC8B-E2466D87E82C}">
            <xm:f>IF($B$94=Annexes!$B$3,TRUE,FALSE)</xm:f>
            <x14:dxf>
              <fill>
                <patternFill>
                  <bgColor theme="7" tint="0.79998168889431442"/>
                </patternFill>
              </fill>
            </x14:dxf>
          </x14:cfRule>
          <xm:sqref>G94</xm:sqref>
        </x14:conditionalFormatting>
        <x14:conditionalFormatting xmlns:xm="http://schemas.microsoft.com/office/excel/2006/main">
          <x14:cfRule type="expression" priority="15" id="{9C86AD92-EDCB-400A-BAD0-68771C608119}">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16" id="{E0366BEF-9B29-4C54-995D-5BBC922AD09A}">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GENERALITES!$B$21:$B$31</xm:f>
          </x14:formula1>
          <xm:sqref>B18:B25</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GENERALITES!$B$36:$B$41</xm:f>
          </x14:formula1>
          <xm:sqref>B33:B38</xm:sqref>
        </x14:dataValidation>
        <x14:dataValidation type="list" allowBlank="1" showInputMessage="1" showErrorMessage="1">
          <x14:formula1>
            <xm:f>Annexes!$B$3:$B$4</xm:f>
          </x14:formula1>
          <xm:sqref>B46 B58 B70 B82 B94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F131"/>
  <sheetViews>
    <sheetView showGridLines="0" zoomScaleNormal="100" workbookViewId="0"/>
  </sheetViews>
  <sheetFormatPr baseColWidth="10" defaultRowHeight="15" outlineLevelRow="1" x14ac:dyDescent="0.25"/>
  <cols>
    <col min="1" max="1" width="4.7109375" style="386" customWidth="1"/>
    <col min="2" max="2" width="18.7109375" style="386" customWidth="1"/>
    <col min="3" max="3" width="9.42578125" style="386" customWidth="1"/>
    <col min="4" max="4" width="6.28515625" style="386" customWidth="1"/>
    <col min="5" max="5" width="9.42578125" style="386" customWidth="1"/>
    <col min="6" max="6" width="6.28515625" style="386" customWidth="1"/>
    <col min="7" max="7" width="10.7109375" style="386" customWidth="1"/>
    <col min="8" max="8" width="6" style="386" customWidth="1"/>
    <col min="9" max="9" width="9.42578125" style="386" customWidth="1"/>
    <col min="10" max="10" width="7" style="386" customWidth="1"/>
    <col min="11" max="11" width="9.42578125" style="386" customWidth="1"/>
    <col min="12" max="12" width="6" style="386" customWidth="1"/>
    <col min="13" max="13" width="2.140625" style="386" customWidth="1"/>
    <col min="14" max="14" width="9.42578125" style="386" customWidth="1"/>
    <col min="15" max="15" width="8.7109375" style="386" customWidth="1"/>
    <col min="16" max="16" width="10.28515625" style="386" bestFit="1" customWidth="1"/>
    <col min="17" max="17" width="6.28515625" style="386" customWidth="1"/>
    <col min="18" max="18" width="1.140625" style="386" customWidth="1"/>
    <col min="19" max="19" width="9.42578125" style="386" customWidth="1"/>
    <col min="20" max="20" width="6.28515625" style="386" customWidth="1"/>
    <col min="21" max="21" width="12.7109375" style="386" bestFit="1" customWidth="1"/>
    <col min="22" max="22" width="6.28515625" style="386" customWidth="1"/>
    <col min="23" max="23" width="1.140625" style="386" customWidth="1"/>
    <col min="24" max="24" width="12.7109375" style="386" bestFit="1" customWidth="1"/>
    <col min="25" max="25" width="6.28515625" style="386" customWidth="1"/>
    <col min="26" max="26" width="9.42578125" style="386" customWidth="1"/>
    <col min="27" max="27" width="6.28515625" style="386" customWidth="1"/>
    <col min="28" max="28" width="1.140625" style="386" customWidth="1"/>
    <col min="29" max="29" width="12.7109375" style="386" customWidth="1"/>
    <col min="30" max="30" width="6.42578125" style="386" customWidth="1"/>
    <col min="31" max="31" width="2.140625" style="386" customWidth="1"/>
    <col min="32" max="32" width="9.42578125" style="386" customWidth="1"/>
    <col min="33" max="33" width="12.140625" style="386" customWidth="1"/>
    <col min="34" max="34" width="9.42578125" style="386" customWidth="1"/>
    <col min="35" max="35" width="6.28515625" style="386" customWidth="1"/>
    <col min="36" max="36" width="1.140625" style="386" customWidth="1"/>
    <col min="37" max="37" width="9.42578125" style="386" customWidth="1"/>
    <col min="38" max="38" width="12.140625" style="386" customWidth="1"/>
    <col min="39" max="39" width="9.42578125" style="386" customWidth="1"/>
    <col min="40" max="40" width="6.28515625" style="386" customWidth="1"/>
    <col min="41" max="41" width="1.140625" style="386" customWidth="1"/>
    <col min="42" max="42" width="9.42578125" style="386" customWidth="1"/>
    <col min="43" max="43" width="6.28515625" style="386" customWidth="1"/>
    <col min="44" max="44" width="9.42578125" style="386" customWidth="1"/>
    <col min="45" max="45" width="12.140625" style="386" customWidth="1"/>
    <col min="46" max="46" width="1.140625" style="386" customWidth="1"/>
    <col min="47" max="47" width="9.42578125" style="386" customWidth="1"/>
    <col min="48" max="48" width="6.28515625" style="386" customWidth="1"/>
    <col min="49" max="49" width="2.140625" style="386" customWidth="1"/>
    <col min="50" max="50" width="9.42578125" style="386" customWidth="1"/>
    <col min="51" max="51" width="6.28515625" style="386" customWidth="1"/>
    <col min="52" max="52" width="9.42578125" style="386" customWidth="1"/>
    <col min="53" max="53" width="6.28515625" style="386" customWidth="1"/>
    <col min="54" max="54" width="9.42578125" style="386" customWidth="1"/>
    <col min="55" max="55" width="6.7109375" style="386" bestFit="1" customWidth="1"/>
    <col min="56" max="56" width="2.140625" style="386" customWidth="1"/>
    <col min="57" max="57" width="9.42578125" style="386" customWidth="1"/>
    <col min="58" max="58" width="12.140625" style="386" customWidth="1"/>
    <col min="59" max="59" width="9.42578125" style="386" customWidth="1"/>
    <col min="60" max="60" width="6.28515625" style="386" customWidth="1"/>
    <col min="61" max="61" width="9.42578125" style="386" customWidth="1"/>
    <col min="62" max="62" width="6.28515625" style="386" customWidth="1"/>
    <col min="63" max="63" width="9.42578125" style="386" customWidth="1"/>
    <col min="64" max="64" width="6.28515625" style="386" customWidth="1"/>
    <col min="65" max="65" width="9.42578125" style="386" customWidth="1"/>
    <col min="66" max="66" width="6.28515625" style="386" customWidth="1"/>
    <col min="67" max="67" width="9.42578125" style="386" customWidth="1"/>
    <col min="68" max="68" width="8.42578125" style="386" customWidth="1"/>
    <col min="69" max="69" width="9.42578125" style="386" customWidth="1"/>
    <col min="70" max="70" width="6.28515625" style="386" customWidth="1"/>
    <col min="71" max="71" width="9.42578125" style="386" customWidth="1"/>
    <col min="72" max="72" width="6.28515625" style="386" customWidth="1"/>
    <col min="73" max="73" width="2.140625" style="386" customWidth="1"/>
    <col min="74" max="74" width="9.42578125" style="386" customWidth="1"/>
    <col min="75" max="75" width="12" style="386" customWidth="1"/>
    <col min="76" max="76" width="9.42578125" style="386" customWidth="1"/>
    <col min="77" max="77" width="6.28515625" style="386" customWidth="1"/>
    <col min="78" max="78" width="9.42578125" style="386" customWidth="1"/>
    <col min="79" max="79" width="6.28515625" style="386" customWidth="1"/>
    <col min="80" max="80" width="2.140625" style="386" customWidth="1"/>
    <col min="81" max="81" width="9.42578125" style="386" customWidth="1"/>
    <col min="82" max="82" width="6.28515625" style="386" customWidth="1"/>
    <col min="83" max="83" width="9.42578125" style="386" customWidth="1"/>
    <col min="84" max="84" width="8.42578125" style="386" customWidth="1"/>
    <col min="85" max="85" width="9.42578125" style="386" customWidth="1"/>
    <col min="86" max="86" width="6.28515625" style="386" customWidth="1"/>
    <col min="87" max="87" width="9.42578125" style="386" customWidth="1"/>
    <col min="88" max="88" width="6.28515625" style="386" customWidth="1"/>
    <col min="89" max="89" width="2.140625" style="386" customWidth="1"/>
    <col min="90" max="90" width="18.7109375" style="386" customWidth="1"/>
    <col min="91" max="91" width="9.42578125" style="386" customWidth="1"/>
    <col min="92" max="92" width="6.28515625" style="386" customWidth="1"/>
    <col min="93" max="93" width="9.42578125" style="386" customWidth="1"/>
    <col min="94" max="94" width="9" style="386" customWidth="1"/>
    <col min="95" max="95" width="9.42578125" style="386" customWidth="1"/>
    <col min="96" max="96" width="6.28515625" style="386" customWidth="1"/>
    <col min="97" max="97" width="9.42578125" style="386" customWidth="1"/>
    <col min="98" max="98" width="6.28515625" style="386" customWidth="1"/>
    <col min="99" max="99" width="2.140625" style="386" customWidth="1"/>
    <col min="100" max="100" width="18.7109375" style="386" customWidth="1"/>
    <col min="101" max="101" width="9.42578125" style="386" customWidth="1"/>
    <col min="102" max="102" width="6.28515625" style="386" customWidth="1"/>
    <col min="103" max="103" width="9.42578125" style="386" customWidth="1"/>
    <col min="104" max="104" width="6.42578125" style="386" customWidth="1"/>
    <col min="105" max="105" width="9.42578125" style="386" customWidth="1"/>
    <col min="106" max="106" width="6.28515625" style="386" customWidth="1"/>
    <col min="107" max="107" width="9.42578125" style="386" customWidth="1"/>
    <col min="108" max="108" width="6.42578125" style="386" customWidth="1"/>
    <col min="109" max="109" width="9.42578125" style="386" customWidth="1"/>
    <col min="110" max="110" width="6.42578125" style="386" customWidth="1"/>
    <col min="111" max="111" width="2.140625" style="386" customWidth="1"/>
    <col min="112" max="112" width="12.85546875" style="386" customWidth="1"/>
    <col min="113" max="113" width="9.42578125" style="386" customWidth="1"/>
    <col min="114" max="114" width="8.28515625" style="386" customWidth="1"/>
    <col min="115" max="115" width="18.7109375" style="386" customWidth="1"/>
    <col min="116" max="116" width="9.42578125" style="386" customWidth="1"/>
    <col min="117" max="117" width="8.28515625" style="386" customWidth="1"/>
    <col min="118" max="118" width="9.42578125" style="386" customWidth="1"/>
    <col min="119" max="119" width="8.28515625" style="386" customWidth="1"/>
    <col min="120" max="120" width="9.42578125" style="386" customWidth="1"/>
    <col min="121" max="121" width="6.28515625" style="386" customWidth="1"/>
    <col min="122" max="122" width="9.42578125" style="386" customWidth="1"/>
    <col min="123" max="123" width="6.28515625" style="386" customWidth="1"/>
    <col min="124" max="124" width="2.140625" style="386" customWidth="1"/>
    <col min="125" max="125" width="18.7109375" style="386" customWidth="1"/>
    <col min="126" max="126" width="9.42578125" style="386" customWidth="1"/>
    <col min="127" max="127" width="6.28515625" style="386" customWidth="1"/>
    <col min="128" max="128" width="9.42578125" style="386" customWidth="1"/>
    <col min="129" max="129" width="6.28515625" style="386" customWidth="1"/>
    <col min="130" max="130" width="9.42578125" style="386" customWidth="1"/>
    <col min="131" max="131" width="6.28515625" style="386" customWidth="1"/>
    <col min="132" max="132" width="2.140625" style="386" customWidth="1"/>
    <col min="133" max="133" width="9.42578125" style="386" customWidth="1"/>
    <col min="134" max="134" width="12" style="386" customWidth="1"/>
    <col min="135" max="135" width="9.42578125" style="386" customWidth="1"/>
    <col min="136" max="136" width="6.28515625" style="386" customWidth="1"/>
    <col min="137" max="16384" width="11.42578125" style="386"/>
  </cols>
  <sheetData>
    <row r="1" spans="1:136" ht="24" thickBot="1" x14ac:dyDescent="0.4">
      <c r="A1" s="385"/>
      <c r="B1" s="178" t="s">
        <v>727</v>
      </c>
      <c r="C1" s="179"/>
      <c r="D1" s="179"/>
      <c r="E1" s="179"/>
      <c r="F1" s="179"/>
      <c r="G1" s="180"/>
    </row>
    <row r="2" spans="1:136" ht="70.5" customHeight="1" x14ac:dyDescent="0.25">
      <c r="B2" s="387" t="s">
        <v>359</v>
      </c>
      <c r="C2" s="387"/>
      <c r="D2" s="387"/>
      <c r="E2" s="387"/>
      <c r="F2" s="387"/>
      <c r="G2" s="387"/>
      <c r="H2" s="387"/>
      <c r="I2" s="387"/>
      <c r="J2" s="387"/>
      <c r="K2" s="387"/>
      <c r="L2" s="387"/>
      <c r="M2" s="387"/>
      <c r="N2" s="254" t="s">
        <v>721</v>
      </c>
      <c r="O2" s="255"/>
      <c r="P2" s="255"/>
      <c r="Q2" s="255"/>
      <c r="R2" s="255"/>
      <c r="S2" s="255"/>
      <c r="T2" s="255"/>
      <c r="U2" s="255"/>
      <c r="V2" s="255"/>
      <c r="W2" s="255"/>
      <c r="X2" s="255"/>
      <c r="Y2" s="255"/>
      <c r="Z2" s="256"/>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136" x14ac:dyDescent="0.25">
      <c r="A3" s="388"/>
      <c r="B3" s="498" t="s">
        <v>708</v>
      </c>
      <c r="C3" s="388"/>
      <c r="D3" s="388"/>
      <c r="E3" s="388"/>
      <c r="F3" s="388"/>
      <c r="G3" s="388"/>
      <c r="H3" s="388"/>
      <c r="I3" s="388"/>
      <c r="J3" s="388"/>
      <c r="K3" s="388"/>
      <c r="L3" s="388"/>
      <c r="M3" s="388"/>
      <c r="N3" s="263"/>
      <c r="O3" s="264"/>
      <c r="P3" s="264"/>
      <c r="Q3" s="264"/>
      <c r="R3" s="264"/>
      <c r="S3" s="264"/>
      <c r="T3" s="264"/>
      <c r="U3" s="264"/>
      <c r="V3" s="264"/>
      <c r="W3" s="264"/>
      <c r="X3" s="264"/>
      <c r="Y3" s="264"/>
      <c r="Z3" s="265"/>
      <c r="AA3" s="388"/>
      <c r="AB3" s="388"/>
      <c r="AC3" s="388"/>
      <c r="AD3" s="388"/>
      <c r="AE3" s="388"/>
      <c r="AF3" s="388"/>
      <c r="AG3" s="388"/>
      <c r="AH3" s="388"/>
      <c r="AI3" s="388"/>
      <c r="AJ3" s="388"/>
      <c r="AK3" s="388"/>
      <c r="AL3" s="388"/>
      <c r="AM3" s="388"/>
      <c r="AN3" s="388"/>
      <c r="AO3" s="388"/>
      <c r="AP3" s="388"/>
      <c r="AQ3" s="388"/>
      <c r="AR3" s="388"/>
      <c r="AS3" s="388"/>
      <c r="AT3" s="388"/>
      <c r="AU3" s="388"/>
      <c r="AV3" s="388"/>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row>
    <row r="4" spans="1:136" ht="24.75" customHeight="1" thickBot="1" x14ac:dyDescent="0.3">
      <c r="B4" s="542"/>
      <c r="C4" s="542"/>
      <c r="D4" s="542"/>
      <c r="E4" s="542"/>
      <c r="F4" s="542"/>
      <c r="G4" s="542"/>
      <c r="H4" s="542"/>
      <c r="I4" s="542"/>
      <c r="J4" s="542"/>
      <c r="K4" s="542"/>
      <c r="L4" s="542"/>
      <c r="M4" s="393"/>
      <c r="N4" s="275"/>
      <c r="O4" s="276"/>
      <c r="P4" s="276"/>
      <c r="Q4" s="276"/>
      <c r="R4" s="276"/>
      <c r="S4" s="276"/>
      <c r="T4" s="276"/>
      <c r="U4" s="276"/>
      <c r="V4" s="276"/>
      <c r="W4" s="276"/>
      <c r="X4" s="276"/>
      <c r="Y4" s="276"/>
      <c r="Z4" s="277"/>
      <c r="AA4" s="393"/>
      <c r="AB4" s="393"/>
      <c r="AC4" s="393"/>
      <c r="AD4" s="393"/>
      <c r="AE4" s="393"/>
    </row>
    <row r="5" spans="1:136" ht="15.75" thickBot="1" x14ac:dyDescent="0.3">
      <c r="A5" s="388"/>
      <c r="AC5" s="388"/>
      <c r="AD5" s="388"/>
      <c r="AE5" s="388"/>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342"/>
    </row>
    <row r="6" spans="1:136" ht="30" customHeight="1" thickBot="1" x14ac:dyDescent="0.3">
      <c r="A6" s="388"/>
      <c r="B6" s="499" t="s">
        <v>70</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1"/>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342"/>
      <c r="DK6" s="342"/>
      <c r="DL6" s="342"/>
      <c r="DM6" s="342"/>
      <c r="DN6" s="342"/>
      <c r="DO6" s="342"/>
      <c r="DP6" s="342"/>
      <c r="DQ6" s="342"/>
      <c r="DR6" s="342"/>
      <c r="DS6" s="342"/>
      <c r="DT6" s="342"/>
      <c r="DU6" s="342"/>
      <c r="DV6" s="342"/>
      <c r="DW6" s="342"/>
      <c r="DX6" s="342"/>
      <c r="DY6" s="342"/>
      <c r="DZ6" s="342"/>
      <c r="EA6" s="342"/>
      <c r="EB6" s="342"/>
      <c r="EC6" s="342"/>
      <c r="ED6" s="342"/>
      <c r="EE6" s="342"/>
      <c r="EF6" s="342"/>
    </row>
    <row r="7" spans="1:136" ht="15.75" outlineLevel="1" thickBot="1" x14ac:dyDescent="0.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42"/>
      <c r="AX7" s="342"/>
      <c r="AY7" s="398"/>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row>
    <row r="8" spans="1:136" ht="15" customHeight="1" outlineLevel="1" thickBot="1" x14ac:dyDescent="0.3">
      <c r="A8" s="342"/>
      <c r="B8" s="531" t="s">
        <v>712</v>
      </c>
      <c r="C8" s="532"/>
      <c r="D8" s="342"/>
      <c r="E8" s="531" t="s">
        <v>713</v>
      </c>
      <c r="F8" s="533"/>
      <c r="G8" s="533"/>
      <c r="H8" s="533"/>
      <c r="I8" s="533"/>
      <c r="J8" s="532"/>
      <c r="K8" s="342"/>
      <c r="L8" s="342"/>
      <c r="M8" s="342"/>
      <c r="AU8" s="342"/>
      <c r="AV8" s="342"/>
      <c r="AW8" s="342"/>
      <c r="AX8" s="398"/>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342"/>
    </row>
    <row r="9" spans="1:136" ht="66.75" customHeight="1" outlineLevel="1" x14ac:dyDescent="0.25">
      <c r="A9" s="342"/>
      <c r="B9" s="269" t="s">
        <v>562</v>
      </c>
      <c r="C9" s="401"/>
      <c r="D9" s="342"/>
      <c r="E9" s="269" t="s">
        <v>553</v>
      </c>
      <c r="F9" s="270"/>
      <c r="G9" s="422" t="s">
        <v>55</v>
      </c>
      <c r="H9" s="270"/>
      <c r="I9" s="422" t="s">
        <v>56</v>
      </c>
      <c r="J9" s="401"/>
      <c r="M9" s="342"/>
      <c r="N9" s="502" t="s">
        <v>564</v>
      </c>
      <c r="O9" s="503"/>
      <c r="AU9" s="342"/>
      <c r="AV9" s="342"/>
      <c r="AW9" s="342"/>
      <c r="AX9" s="342"/>
      <c r="AY9" s="398"/>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row>
    <row r="10" spans="1:136" ht="16.5" customHeight="1" outlineLevel="1" thickBot="1" x14ac:dyDescent="0.3">
      <c r="A10" s="342"/>
      <c r="B10" s="408">
        <f>C16</f>
        <v>0</v>
      </c>
      <c r="C10" s="409" t="s">
        <v>1</v>
      </c>
      <c r="D10" s="342"/>
      <c r="E10" s="408">
        <f>E16</f>
        <v>0</v>
      </c>
      <c r="F10" s="410" t="s">
        <v>1</v>
      </c>
      <c r="G10" s="411">
        <f>G16</f>
        <v>0</v>
      </c>
      <c r="H10" s="410" t="s">
        <v>1</v>
      </c>
      <c r="I10" s="411">
        <f>E10-G10</f>
        <v>0</v>
      </c>
      <c r="J10" s="409" t="s">
        <v>1</v>
      </c>
      <c r="M10" s="342"/>
      <c r="N10" s="408">
        <f>IF(E10&lt;&gt;0,G10/E10*100,0)</f>
        <v>0</v>
      </c>
      <c r="O10" s="409" t="s">
        <v>2</v>
      </c>
      <c r="S10" s="342"/>
      <c r="AU10" s="342"/>
      <c r="AV10" s="342"/>
      <c r="AW10" s="342"/>
      <c r="AX10" s="342"/>
      <c r="AY10" s="398"/>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row>
    <row r="11" spans="1:136" ht="15.75" thickBot="1" x14ac:dyDescent="0.3">
      <c r="A11" s="388"/>
      <c r="E11" s="342"/>
      <c r="F11" s="342"/>
      <c r="G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row>
    <row r="12" spans="1:136" ht="30" customHeight="1" thickBot="1" x14ac:dyDescent="0.3">
      <c r="A12" s="388"/>
      <c r="B12" s="499" t="s">
        <v>64</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1"/>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row>
    <row r="13" spans="1:136" outlineLevel="1" x14ac:dyDescent="0.25">
      <c r="A13" s="388"/>
      <c r="B13" s="412"/>
      <c r="C13" s="413"/>
      <c r="D13" s="413"/>
      <c r="E13" s="413"/>
      <c r="F13" s="413"/>
      <c r="G13" s="413"/>
      <c r="H13" s="413"/>
      <c r="I13" s="413"/>
      <c r="J13" s="413"/>
      <c r="K13" s="413"/>
      <c r="L13" s="414"/>
      <c r="N13" s="412"/>
      <c r="O13" s="413"/>
      <c r="P13" s="413"/>
      <c r="Q13" s="413"/>
      <c r="R13" s="413"/>
      <c r="S13" s="413"/>
      <c r="T13" s="413"/>
      <c r="U13" s="413"/>
      <c r="V13" s="413"/>
      <c r="W13" s="413"/>
      <c r="X13" s="413"/>
      <c r="Y13" s="413"/>
      <c r="Z13" s="413"/>
      <c r="AA13" s="413"/>
      <c r="AB13" s="413"/>
      <c r="AC13" s="413"/>
      <c r="AD13" s="414"/>
      <c r="AF13" s="412"/>
      <c r="AG13" s="413"/>
      <c r="AH13" s="413"/>
      <c r="AI13" s="413"/>
      <c r="AJ13" s="413"/>
      <c r="AK13" s="413"/>
      <c r="AL13" s="413"/>
      <c r="AM13" s="413"/>
      <c r="AN13" s="413"/>
      <c r="AO13" s="413"/>
      <c r="AP13" s="413"/>
      <c r="AQ13" s="413"/>
      <c r="AR13" s="413"/>
      <c r="AS13" s="413"/>
      <c r="AT13" s="413"/>
      <c r="AU13" s="413"/>
      <c r="AV13" s="414"/>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row>
    <row r="14" spans="1:136" ht="15" customHeight="1" outlineLevel="1" x14ac:dyDescent="0.25">
      <c r="A14" s="388"/>
      <c r="B14" s="415" t="s">
        <v>43</v>
      </c>
      <c r="C14" s="416"/>
      <c r="D14" s="416"/>
      <c r="E14" s="416"/>
      <c r="F14" s="416"/>
      <c r="G14" s="416"/>
      <c r="H14" s="416"/>
      <c r="I14" s="416"/>
      <c r="J14" s="416"/>
      <c r="K14" s="416"/>
      <c r="L14" s="417"/>
      <c r="M14" s="342"/>
      <c r="N14" s="418" t="s">
        <v>44</v>
      </c>
      <c r="O14" s="289"/>
      <c r="P14" s="289"/>
      <c r="Q14" s="289"/>
      <c r="R14" s="289"/>
      <c r="S14" s="289"/>
      <c r="T14" s="289"/>
      <c r="U14" s="289"/>
      <c r="V14" s="289"/>
      <c r="W14" s="289"/>
      <c r="X14" s="289"/>
      <c r="Y14" s="289"/>
      <c r="Z14" s="289"/>
      <c r="AA14" s="289"/>
      <c r="AB14" s="289"/>
      <c r="AC14" s="289"/>
      <c r="AD14" s="419"/>
      <c r="AE14" s="420"/>
      <c r="AF14" s="418" t="s">
        <v>45</v>
      </c>
      <c r="AG14" s="289"/>
      <c r="AH14" s="289"/>
      <c r="AI14" s="289"/>
      <c r="AJ14" s="289"/>
      <c r="AK14" s="289"/>
      <c r="AL14" s="289"/>
      <c r="AM14" s="289"/>
      <c r="AN14" s="289"/>
      <c r="AO14" s="289"/>
      <c r="AP14" s="289"/>
      <c r="AQ14" s="289"/>
      <c r="AR14" s="289"/>
      <c r="AS14" s="289"/>
      <c r="AT14" s="289"/>
      <c r="AU14" s="289"/>
      <c r="AV14" s="419"/>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row>
    <row r="15" spans="1:136" ht="43.5" customHeight="1" outlineLevel="1" x14ac:dyDescent="0.25">
      <c r="A15" s="388"/>
      <c r="B15" s="421" t="s">
        <v>569</v>
      </c>
      <c r="C15" s="422" t="s">
        <v>559</v>
      </c>
      <c r="D15" s="270"/>
      <c r="E15" s="422" t="s">
        <v>590</v>
      </c>
      <c r="F15" s="270"/>
      <c r="G15" s="422" t="s">
        <v>563</v>
      </c>
      <c r="H15" s="270"/>
      <c r="I15" s="422" t="s">
        <v>558</v>
      </c>
      <c r="J15" s="270"/>
      <c r="K15" s="422" t="s">
        <v>564</v>
      </c>
      <c r="L15" s="401"/>
      <c r="M15" s="342"/>
      <c r="N15" s="487"/>
      <c r="O15" s="434"/>
      <c r="P15" s="434"/>
      <c r="Q15" s="434"/>
      <c r="R15" s="425"/>
      <c r="S15" s="422" t="s">
        <v>10</v>
      </c>
      <c r="T15" s="270"/>
      <c r="U15" s="422" t="s">
        <v>110</v>
      </c>
      <c r="V15" s="270"/>
      <c r="W15" s="425"/>
      <c r="X15" s="422" t="s">
        <v>360</v>
      </c>
      <c r="Y15" s="270"/>
      <c r="Z15" s="422" t="s">
        <v>361</v>
      </c>
      <c r="AA15" s="270"/>
      <c r="AB15" s="425"/>
      <c r="AC15" s="422" t="s">
        <v>362</v>
      </c>
      <c r="AD15" s="401"/>
      <c r="AE15" s="342"/>
      <c r="AF15" s="471"/>
      <c r="AG15" s="434"/>
      <c r="AH15" s="434"/>
      <c r="AI15" s="434"/>
      <c r="AJ15" s="425"/>
      <c r="AK15" s="422" t="s">
        <v>45</v>
      </c>
      <c r="AL15" s="270"/>
      <c r="AM15" s="422" t="s">
        <v>111</v>
      </c>
      <c r="AN15" s="270"/>
      <c r="AO15" s="425"/>
      <c r="AP15" s="422" t="s">
        <v>363</v>
      </c>
      <c r="AQ15" s="270"/>
      <c r="AR15" s="422" t="s">
        <v>364</v>
      </c>
      <c r="AS15" s="270"/>
      <c r="AT15" s="425"/>
      <c r="AU15" s="422" t="s">
        <v>365</v>
      </c>
      <c r="AV15" s="401"/>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row>
    <row r="16" spans="1:136" outlineLevel="1" x14ac:dyDescent="0.25">
      <c r="A16" s="388"/>
      <c r="B16" s="426"/>
      <c r="C16" s="302">
        <f>SUM(C18:C25)</f>
        <v>0</v>
      </c>
      <c r="D16" s="427" t="s">
        <v>1</v>
      </c>
      <c r="E16" s="302">
        <f>SUM(E18:E25)</f>
        <v>0</v>
      </c>
      <c r="F16" s="427" t="s">
        <v>1</v>
      </c>
      <c r="G16" s="302">
        <f>SUM(G18:G25)</f>
        <v>0</v>
      </c>
      <c r="H16" s="427" t="s">
        <v>1</v>
      </c>
      <c r="I16" s="302">
        <f>SUM(I18:I25)</f>
        <v>0</v>
      </c>
      <c r="J16" s="427" t="s">
        <v>1</v>
      </c>
      <c r="K16" s="302" t="str">
        <f>IF(E16&gt;0,G16/E16*100,"")</f>
        <v/>
      </c>
      <c r="L16" s="428" t="s">
        <v>2</v>
      </c>
      <c r="M16" s="342"/>
      <c r="N16" s="487"/>
      <c r="O16" s="434"/>
      <c r="P16" s="434"/>
      <c r="Q16" s="434"/>
      <c r="R16" s="425"/>
      <c r="S16" s="504"/>
      <c r="T16" s="427" t="s">
        <v>0</v>
      </c>
      <c r="U16" s="302">
        <f>'ETAPE 1'!P16</f>
        <v>47630</v>
      </c>
      <c r="V16" s="427" t="s">
        <v>6</v>
      </c>
      <c r="W16" s="425"/>
      <c r="X16" s="302">
        <f>U16</f>
        <v>47630</v>
      </c>
      <c r="Y16" s="427" t="s">
        <v>6</v>
      </c>
      <c r="Z16" s="302">
        <f>IF($E$10&lt;&gt;0,X16/$E$10,0)</f>
        <v>0</v>
      </c>
      <c r="AA16" s="430" t="s">
        <v>72</v>
      </c>
      <c r="AB16" s="425"/>
      <c r="AC16" s="302">
        <f>G16*Z16</f>
        <v>0</v>
      </c>
      <c r="AD16" s="428" t="s">
        <v>6</v>
      </c>
      <c r="AE16" s="342"/>
      <c r="AF16" s="471"/>
      <c r="AG16" s="434"/>
      <c r="AH16" s="434"/>
      <c r="AI16" s="434"/>
      <c r="AJ16" s="425"/>
      <c r="AK16" s="504"/>
      <c r="AL16" s="427" t="s">
        <v>20</v>
      </c>
      <c r="AM16" s="302">
        <f>'ETAPE 1'!Z16</f>
        <v>194.15207999999998</v>
      </c>
      <c r="AN16" s="427" t="s">
        <v>21</v>
      </c>
      <c r="AO16" s="425"/>
      <c r="AP16" s="302">
        <f>AM16</f>
        <v>194.15207999999998</v>
      </c>
      <c r="AQ16" s="427" t="s">
        <v>21</v>
      </c>
      <c r="AR16" s="302">
        <f>IF($E$10&lt;&gt;0,AP16/$E$10,0)</f>
        <v>0</v>
      </c>
      <c r="AS16" s="427" t="s">
        <v>73</v>
      </c>
      <c r="AT16" s="425"/>
      <c r="AU16" s="302">
        <f>G16*AR16</f>
        <v>0</v>
      </c>
      <c r="AV16" s="428" t="s">
        <v>21</v>
      </c>
      <c r="AW16" s="342"/>
      <c r="AX16" s="342"/>
      <c r="AY16" s="342"/>
      <c r="AZ16" s="342" t="s">
        <v>40</v>
      </c>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row>
    <row r="17" spans="1:136" ht="6.75" customHeight="1" outlineLevel="1" x14ac:dyDescent="0.25">
      <c r="A17" s="388"/>
      <c r="B17" s="431"/>
      <c r="C17" s="420"/>
      <c r="D17" s="420"/>
      <c r="E17" s="420"/>
      <c r="F17" s="420"/>
      <c r="G17" s="420"/>
      <c r="H17" s="420"/>
      <c r="I17" s="420"/>
      <c r="J17" s="420"/>
      <c r="K17" s="420"/>
      <c r="L17" s="432"/>
      <c r="M17" s="420"/>
      <c r="N17" s="487"/>
      <c r="O17" s="434"/>
      <c r="P17" s="434"/>
      <c r="Q17" s="434"/>
      <c r="R17" s="420"/>
      <c r="S17" s="420"/>
      <c r="T17" s="420"/>
      <c r="U17" s="420"/>
      <c r="V17" s="420"/>
      <c r="W17" s="420"/>
      <c r="X17" s="420"/>
      <c r="Y17" s="420"/>
      <c r="Z17" s="433"/>
      <c r="AA17" s="433"/>
      <c r="AB17" s="433"/>
      <c r="AC17" s="420"/>
      <c r="AD17" s="432"/>
      <c r="AE17" s="388"/>
      <c r="AF17" s="487"/>
      <c r="AG17" s="434"/>
      <c r="AH17" s="434"/>
      <c r="AI17" s="434"/>
      <c r="AJ17" s="420"/>
      <c r="AK17" s="420"/>
      <c r="AL17" s="420"/>
      <c r="AM17" s="420"/>
      <c r="AN17" s="420"/>
      <c r="AO17" s="420"/>
      <c r="AP17" s="420"/>
      <c r="AQ17" s="420"/>
      <c r="AR17" s="420"/>
      <c r="AS17" s="420"/>
      <c r="AT17" s="420"/>
      <c r="AU17" s="420"/>
      <c r="AV17" s="43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row>
    <row r="18" spans="1:136" outlineLevel="1" x14ac:dyDescent="0.25">
      <c r="A18" s="388"/>
      <c r="B18" s="435"/>
      <c r="C18" s="340"/>
      <c r="D18" s="427" t="s">
        <v>1</v>
      </c>
      <c r="E18" s="436"/>
      <c r="F18" s="427" t="s">
        <v>1</v>
      </c>
      <c r="G18" s="436"/>
      <c r="H18" s="427" t="s">
        <v>1</v>
      </c>
      <c r="I18" s="436"/>
      <c r="J18" s="427" t="s">
        <v>1</v>
      </c>
      <c r="K18" s="302" t="str">
        <f>IF(E18&gt;0,G18/E18*100,"")</f>
        <v/>
      </c>
      <c r="L18" s="428" t="s">
        <v>2</v>
      </c>
      <c r="M18" s="420"/>
      <c r="N18" s="487"/>
      <c r="O18" s="434"/>
      <c r="P18" s="434"/>
      <c r="Q18" s="434"/>
      <c r="R18" s="438"/>
      <c r="S18" s="302" t="str">
        <f>IF(B18&lt;&gt;0,VLOOKUP(B18,GENERALITES!$B$21:$D$31,3,FALSE),"")</f>
        <v/>
      </c>
      <c r="T18" s="427" t="s">
        <v>0</v>
      </c>
      <c r="U18" s="438"/>
      <c r="V18" s="438"/>
      <c r="W18" s="438"/>
      <c r="X18" s="438"/>
      <c r="Y18" s="438"/>
      <c r="Z18" s="425"/>
      <c r="AA18" s="425"/>
      <c r="AB18" s="425"/>
      <c r="AC18" s="438"/>
      <c r="AD18" s="439"/>
      <c r="AE18" s="388"/>
      <c r="AF18" s="487"/>
      <c r="AG18" s="434"/>
      <c r="AH18" s="434"/>
      <c r="AI18" s="434"/>
      <c r="AJ18" s="438"/>
      <c r="AK18" s="302" t="str">
        <f>IF(B18&lt;&gt;0,VLOOKUP(B18,GENERALITES!$B$21:$N$31,12,FALSE),"")</f>
        <v/>
      </c>
      <c r="AL18" s="427" t="s">
        <v>20</v>
      </c>
      <c r="AM18" s="438"/>
      <c r="AN18" s="438"/>
      <c r="AO18" s="438"/>
      <c r="AP18" s="438"/>
      <c r="AQ18" s="438"/>
      <c r="AR18" s="425"/>
      <c r="AS18" s="425"/>
      <c r="AT18" s="425"/>
      <c r="AU18" s="438"/>
      <c r="AV18" s="439"/>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row>
    <row r="19" spans="1:136" outlineLevel="1" x14ac:dyDescent="0.25">
      <c r="A19" s="388"/>
      <c r="B19" s="435"/>
      <c r="C19" s="340"/>
      <c r="D19" s="427" t="s">
        <v>1</v>
      </c>
      <c r="E19" s="436"/>
      <c r="F19" s="427" t="s">
        <v>1</v>
      </c>
      <c r="G19" s="436"/>
      <c r="H19" s="427" t="s">
        <v>1</v>
      </c>
      <c r="I19" s="436"/>
      <c r="J19" s="427" t="s">
        <v>1</v>
      </c>
      <c r="K19" s="302" t="str">
        <f t="shared" ref="K19:K25" si="0">IF(E19&gt;0,G19/E19*100,"")</f>
        <v/>
      </c>
      <c r="L19" s="428" t="s">
        <v>2</v>
      </c>
      <c r="M19" s="420"/>
      <c r="N19" s="487"/>
      <c r="O19" s="434"/>
      <c r="P19" s="434"/>
      <c r="Q19" s="434"/>
      <c r="R19" s="438"/>
      <c r="S19" s="302" t="str">
        <f>IF(B19&lt;&gt;0,VLOOKUP(B19,GENERALITES!$B$21:$D$31,3,FALSE),"")</f>
        <v/>
      </c>
      <c r="T19" s="427" t="s">
        <v>0</v>
      </c>
      <c r="U19" s="438"/>
      <c r="V19" s="438"/>
      <c r="W19" s="438"/>
      <c r="X19" s="438"/>
      <c r="Y19" s="438"/>
      <c r="Z19" s="425"/>
      <c r="AA19" s="425"/>
      <c r="AB19" s="425"/>
      <c r="AC19" s="438"/>
      <c r="AD19" s="439"/>
      <c r="AE19" s="388"/>
      <c r="AF19" s="487"/>
      <c r="AG19" s="434"/>
      <c r="AH19" s="434"/>
      <c r="AI19" s="434"/>
      <c r="AJ19" s="438"/>
      <c r="AK19" s="302" t="str">
        <f>IF(B19&lt;&gt;0,VLOOKUP(B19,GENERALITES!$B$21:$N$31,12,FALSE),"")</f>
        <v/>
      </c>
      <c r="AL19" s="427" t="s">
        <v>20</v>
      </c>
      <c r="AM19" s="438"/>
      <c r="AN19" s="438"/>
      <c r="AO19" s="438"/>
      <c r="AP19" s="438"/>
      <c r="AQ19" s="438"/>
      <c r="AR19" s="425"/>
      <c r="AS19" s="425"/>
      <c r="AT19" s="425"/>
      <c r="AU19" s="438"/>
      <c r="AV19" s="439"/>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row>
    <row r="20" spans="1:136" outlineLevel="1" x14ac:dyDescent="0.25">
      <c r="A20" s="440"/>
      <c r="B20" s="435"/>
      <c r="C20" s="340"/>
      <c r="D20" s="427" t="s">
        <v>1</v>
      </c>
      <c r="E20" s="436"/>
      <c r="F20" s="427" t="s">
        <v>1</v>
      </c>
      <c r="G20" s="436"/>
      <c r="H20" s="427" t="s">
        <v>1</v>
      </c>
      <c r="I20" s="436"/>
      <c r="J20" s="427" t="s">
        <v>1</v>
      </c>
      <c r="K20" s="302" t="str">
        <f t="shared" si="0"/>
        <v/>
      </c>
      <c r="L20" s="428" t="s">
        <v>2</v>
      </c>
      <c r="M20" s="420"/>
      <c r="N20" s="487"/>
      <c r="O20" s="434"/>
      <c r="P20" s="434"/>
      <c r="Q20" s="434"/>
      <c r="R20" s="438"/>
      <c r="S20" s="302" t="str">
        <f>IF(B20&lt;&gt;0,VLOOKUP(B20,GENERALITES!$B$21:$D$31,3,FALSE),"")</f>
        <v/>
      </c>
      <c r="T20" s="427" t="s">
        <v>0</v>
      </c>
      <c r="U20" s="438"/>
      <c r="V20" s="438"/>
      <c r="W20" s="438"/>
      <c r="X20" s="438"/>
      <c r="Y20" s="438"/>
      <c r="Z20" s="425"/>
      <c r="AA20" s="425"/>
      <c r="AB20" s="425"/>
      <c r="AC20" s="438"/>
      <c r="AD20" s="439"/>
      <c r="AE20" s="388"/>
      <c r="AF20" s="487"/>
      <c r="AG20" s="434"/>
      <c r="AH20" s="434"/>
      <c r="AI20" s="434"/>
      <c r="AJ20" s="438"/>
      <c r="AK20" s="302" t="str">
        <f>IF(B20&lt;&gt;0,VLOOKUP(B20,GENERALITES!$B$21:$N$31,12,FALSE),"")</f>
        <v/>
      </c>
      <c r="AL20" s="427" t="s">
        <v>20</v>
      </c>
      <c r="AM20" s="438"/>
      <c r="AN20" s="438"/>
      <c r="AO20" s="438"/>
      <c r="AP20" s="438"/>
      <c r="AQ20" s="438"/>
      <c r="AR20" s="425"/>
      <c r="AS20" s="425"/>
      <c r="AT20" s="425"/>
      <c r="AU20" s="438"/>
      <c r="AV20" s="439"/>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row>
    <row r="21" spans="1:136" outlineLevel="1" x14ac:dyDescent="0.25">
      <c r="A21" s="440"/>
      <c r="B21" s="435"/>
      <c r="C21" s="340"/>
      <c r="D21" s="427" t="s">
        <v>1</v>
      </c>
      <c r="E21" s="436"/>
      <c r="F21" s="427" t="s">
        <v>1</v>
      </c>
      <c r="G21" s="436"/>
      <c r="H21" s="427" t="s">
        <v>1</v>
      </c>
      <c r="I21" s="436"/>
      <c r="J21" s="427" t="s">
        <v>1</v>
      </c>
      <c r="K21" s="302" t="str">
        <f t="shared" si="0"/>
        <v/>
      </c>
      <c r="L21" s="428" t="s">
        <v>2</v>
      </c>
      <c r="M21" s="420"/>
      <c r="N21" s="487"/>
      <c r="O21" s="434"/>
      <c r="P21" s="434"/>
      <c r="Q21" s="434"/>
      <c r="R21" s="438"/>
      <c r="S21" s="302" t="str">
        <f>IF(B21&lt;&gt;0,VLOOKUP(B21,GENERALITES!$B$21:$D$31,3,FALSE),"")</f>
        <v/>
      </c>
      <c r="T21" s="427" t="s">
        <v>0</v>
      </c>
      <c r="U21" s="438"/>
      <c r="V21" s="438"/>
      <c r="W21" s="438"/>
      <c r="X21" s="438"/>
      <c r="Y21" s="438"/>
      <c r="Z21" s="425"/>
      <c r="AA21" s="425"/>
      <c r="AB21" s="425"/>
      <c r="AC21" s="438"/>
      <c r="AD21" s="439"/>
      <c r="AE21" s="388"/>
      <c r="AF21" s="487"/>
      <c r="AG21" s="434"/>
      <c r="AH21" s="434"/>
      <c r="AI21" s="434"/>
      <c r="AJ21" s="438"/>
      <c r="AK21" s="302" t="str">
        <f>IF(B21&lt;&gt;0,VLOOKUP(B21,GENERALITES!$B$21:$N$31,12,FALSE),"")</f>
        <v/>
      </c>
      <c r="AL21" s="427" t="s">
        <v>20</v>
      </c>
      <c r="AM21" s="438"/>
      <c r="AN21" s="438"/>
      <c r="AO21" s="438"/>
      <c r="AP21" s="438"/>
      <c r="AQ21" s="438"/>
      <c r="AR21" s="425"/>
      <c r="AS21" s="425"/>
      <c r="AT21" s="425"/>
      <c r="AU21" s="438"/>
      <c r="AV21" s="439"/>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row>
    <row r="22" spans="1:136" outlineLevel="1" x14ac:dyDescent="0.25">
      <c r="A22" s="440"/>
      <c r="B22" s="435"/>
      <c r="C22" s="340"/>
      <c r="D22" s="427" t="s">
        <v>1</v>
      </c>
      <c r="E22" s="436"/>
      <c r="F22" s="427" t="s">
        <v>1</v>
      </c>
      <c r="G22" s="436"/>
      <c r="H22" s="427" t="s">
        <v>1</v>
      </c>
      <c r="I22" s="436"/>
      <c r="J22" s="427" t="s">
        <v>1</v>
      </c>
      <c r="K22" s="302" t="str">
        <f t="shared" si="0"/>
        <v/>
      </c>
      <c r="L22" s="428" t="s">
        <v>2</v>
      </c>
      <c r="M22" s="420"/>
      <c r="N22" s="487"/>
      <c r="O22" s="434"/>
      <c r="P22" s="434"/>
      <c r="Q22" s="434"/>
      <c r="R22" s="438"/>
      <c r="S22" s="302" t="str">
        <f>IF(B22&lt;&gt;0,VLOOKUP(B22,GENERALITES!$B$21:$D$31,3,FALSE),"")</f>
        <v/>
      </c>
      <c r="T22" s="427" t="s">
        <v>0</v>
      </c>
      <c r="U22" s="438"/>
      <c r="V22" s="438"/>
      <c r="W22" s="438"/>
      <c r="X22" s="438"/>
      <c r="Y22" s="438"/>
      <c r="Z22" s="425"/>
      <c r="AA22" s="425"/>
      <c r="AB22" s="425"/>
      <c r="AC22" s="438"/>
      <c r="AD22" s="439"/>
      <c r="AE22" s="388"/>
      <c r="AF22" s="487"/>
      <c r="AG22" s="434"/>
      <c r="AH22" s="434"/>
      <c r="AI22" s="434"/>
      <c r="AJ22" s="438"/>
      <c r="AK22" s="302" t="str">
        <f>IF(B22&lt;&gt;0,VLOOKUP(B22,GENERALITES!$B$21:$N$31,12,FALSE),"")</f>
        <v/>
      </c>
      <c r="AL22" s="427" t="s">
        <v>20</v>
      </c>
      <c r="AM22" s="438"/>
      <c r="AN22" s="438"/>
      <c r="AO22" s="438"/>
      <c r="AP22" s="438"/>
      <c r="AQ22" s="438"/>
      <c r="AR22" s="425"/>
      <c r="AS22" s="425"/>
      <c r="AT22" s="425"/>
      <c r="AU22" s="438"/>
      <c r="AV22" s="439"/>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row>
    <row r="23" spans="1:136" outlineLevel="1" x14ac:dyDescent="0.25">
      <c r="A23" s="440"/>
      <c r="B23" s="435"/>
      <c r="C23" s="340"/>
      <c r="D23" s="427" t="s">
        <v>1</v>
      </c>
      <c r="E23" s="436"/>
      <c r="F23" s="427" t="s">
        <v>1</v>
      </c>
      <c r="G23" s="436"/>
      <c r="H23" s="427" t="s">
        <v>1</v>
      </c>
      <c r="I23" s="436"/>
      <c r="J23" s="427" t="s">
        <v>1</v>
      </c>
      <c r="K23" s="302" t="str">
        <f t="shared" si="0"/>
        <v/>
      </c>
      <c r="L23" s="428" t="s">
        <v>2</v>
      </c>
      <c r="M23" s="420"/>
      <c r="N23" s="487"/>
      <c r="O23" s="434"/>
      <c r="P23" s="434"/>
      <c r="Q23" s="434"/>
      <c r="R23" s="438"/>
      <c r="S23" s="302" t="str">
        <f>IF(B23&lt;&gt;0,VLOOKUP(B23,GENERALITES!$B$21:$D$31,3,FALSE),"")</f>
        <v/>
      </c>
      <c r="T23" s="427" t="s">
        <v>0</v>
      </c>
      <c r="U23" s="438"/>
      <c r="V23" s="438"/>
      <c r="W23" s="438"/>
      <c r="X23" s="438"/>
      <c r="Y23" s="438"/>
      <c r="Z23" s="425"/>
      <c r="AA23" s="425"/>
      <c r="AB23" s="425"/>
      <c r="AC23" s="438"/>
      <c r="AD23" s="439"/>
      <c r="AE23" s="388"/>
      <c r="AF23" s="487"/>
      <c r="AG23" s="434"/>
      <c r="AH23" s="434"/>
      <c r="AI23" s="434"/>
      <c r="AJ23" s="438"/>
      <c r="AK23" s="302" t="str">
        <f>IF(B23&lt;&gt;0,VLOOKUP(B23,GENERALITES!$B$21:$N$31,12,FALSE),"")</f>
        <v/>
      </c>
      <c r="AL23" s="427" t="s">
        <v>20</v>
      </c>
      <c r="AM23" s="438"/>
      <c r="AN23" s="438"/>
      <c r="AO23" s="438"/>
      <c r="AP23" s="438"/>
      <c r="AQ23" s="438"/>
      <c r="AR23" s="425"/>
      <c r="AS23" s="425"/>
      <c r="AT23" s="425"/>
      <c r="AU23" s="438"/>
      <c r="AV23" s="439"/>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row>
    <row r="24" spans="1:136" outlineLevel="1" x14ac:dyDescent="0.25">
      <c r="A24" s="440"/>
      <c r="B24" s="435"/>
      <c r="C24" s="340"/>
      <c r="D24" s="427" t="s">
        <v>1</v>
      </c>
      <c r="E24" s="436"/>
      <c r="F24" s="427" t="s">
        <v>1</v>
      </c>
      <c r="G24" s="436"/>
      <c r="H24" s="427" t="s">
        <v>1</v>
      </c>
      <c r="I24" s="436"/>
      <c r="J24" s="427" t="s">
        <v>1</v>
      </c>
      <c r="K24" s="302" t="str">
        <f t="shared" si="0"/>
        <v/>
      </c>
      <c r="L24" s="428" t="s">
        <v>2</v>
      </c>
      <c r="M24" s="420"/>
      <c r="N24" s="487"/>
      <c r="O24" s="434"/>
      <c r="P24" s="434"/>
      <c r="Q24" s="434"/>
      <c r="R24" s="438"/>
      <c r="S24" s="302" t="str">
        <f>IF(B24&lt;&gt;0,VLOOKUP(B24,GENERALITES!$B$21:$D$31,3,FALSE),"")</f>
        <v/>
      </c>
      <c r="T24" s="427" t="s">
        <v>0</v>
      </c>
      <c r="U24" s="438"/>
      <c r="V24" s="438"/>
      <c r="W24" s="438"/>
      <c r="X24" s="438"/>
      <c r="Y24" s="438"/>
      <c r="Z24" s="425"/>
      <c r="AA24" s="425"/>
      <c r="AB24" s="425"/>
      <c r="AC24" s="438"/>
      <c r="AD24" s="439"/>
      <c r="AE24" s="388"/>
      <c r="AF24" s="487"/>
      <c r="AG24" s="434"/>
      <c r="AH24" s="434"/>
      <c r="AI24" s="434"/>
      <c r="AJ24" s="438"/>
      <c r="AK24" s="302" t="str">
        <f>IF(B24&lt;&gt;0,VLOOKUP(B24,GENERALITES!$B$21:$N$31,12,FALSE),"")</f>
        <v/>
      </c>
      <c r="AL24" s="427" t="s">
        <v>20</v>
      </c>
      <c r="AM24" s="438"/>
      <c r="AN24" s="438"/>
      <c r="AO24" s="438"/>
      <c r="AP24" s="438"/>
      <c r="AQ24" s="438"/>
      <c r="AR24" s="425"/>
      <c r="AS24" s="425"/>
      <c r="AT24" s="425"/>
      <c r="AU24" s="438"/>
      <c r="AV24" s="439"/>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row>
    <row r="25" spans="1:136" outlineLevel="1" x14ac:dyDescent="0.25">
      <c r="A25" s="440"/>
      <c r="B25" s="435"/>
      <c r="C25" s="340"/>
      <c r="D25" s="427" t="s">
        <v>1</v>
      </c>
      <c r="E25" s="436"/>
      <c r="F25" s="427" t="s">
        <v>1</v>
      </c>
      <c r="G25" s="436"/>
      <c r="H25" s="427" t="s">
        <v>1</v>
      </c>
      <c r="I25" s="436"/>
      <c r="J25" s="427" t="s">
        <v>1</v>
      </c>
      <c r="K25" s="302" t="str">
        <f t="shared" si="0"/>
        <v/>
      </c>
      <c r="L25" s="428" t="s">
        <v>2</v>
      </c>
      <c r="M25" s="420"/>
      <c r="N25" s="487"/>
      <c r="O25" s="434"/>
      <c r="P25" s="434"/>
      <c r="Q25" s="434"/>
      <c r="R25" s="438"/>
      <c r="S25" s="302" t="str">
        <f>IF(B25&lt;&gt;0,VLOOKUP(B25,GENERALITES!$B$21:$D$31,3,FALSE),"")</f>
        <v/>
      </c>
      <c r="T25" s="427" t="s">
        <v>0</v>
      </c>
      <c r="U25" s="438"/>
      <c r="V25" s="438"/>
      <c r="W25" s="438"/>
      <c r="X25" s="438"/>
      <c r="Y25" s="438"/>
      <c r="Z25" s="425"/>
      <c r="AA25" s="425"/>
      <c r="AB25" s="425"/>
      <c r="AC25" s="438"/>
      <c r="AD25" s="439"/>
      <c r="AE25" s="388"/>
      <c r="AF25" s="487"/>
      <c r="AG25" s="434"/>
      <c r="AH25" s="434"/>
      <c r="AI25" s="434"/>
      <c r="AJ25" s="420"/>
      <c r="AK25" s="302" t="str">
        <f>IF(B25&lt;&gt;0,VLOOKUP(B25,GENERALITES!$B$21:$N$31,12,FALSE),"")</f>
        <v/>
      </c>
      <c r="AL25" s="427" t="s">
        <v>20</v>
      </c>
      <c r="AM25" s="420"/>
      <c r="AN25" s="420"/>
      <c r="AO25" s="420"/>
      <c r="AP25" s="420"/>
      <c r="AQ25" s="420"/>
      <c r="AR25" s="425"/>
      <c r="AS25" s="425"/>
      <c r="AT25" s="425"/>
      <c r="AU25" s="420"/>
      <c r="AV25" s="432"/>
      <c r="AW25" s="388"/>
      <c r="AX25" s="342"/>
      <c r="AY25" s="342"/>
      <c r="BD25" s="342"/>
      <c r="BE25" s="342"/>
      <c r="BF25" s="342"/>
      <c r="BG25" s="342"/>
      <c r="BH25" s="342"/>
      <c r="BI25" s="342"/>
      <c r="BJ25" s="342"/>
      <c r="BK25" s="342"/>
      <c r="BL25" s="342"/>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row>
    <row r="26" spans="1:136" ht="15.75" thickBot="1" x14ac:dyDescent="0.3">
      <c r="A26" s="440"/>
      <c r="B26" s="477"/>
      <c r="C26" s="478"/>
      <c r="D26" s="478"/>
      <c r="E26" s="478"/>
      <c r="F26" s="478"/>
      <c r="G26" s="478"/>
      <c r="H26" s="478"/>
      <c r="I26" s="478"/>
      <c r="J26" s="478"/>
      <c r="K26" s="478"/>
      <c r="L26" s="479"/>
      <c r="M26" s="440"/>
      <c r="N26" s="477"/>
      <c r="O26" s="478"/>
      <c r="P26" s="478"/>
      <c r="Q26" s="478"/>
      <c r="R26" s="478"/>
      <c r="S26" s="478"/>
      <c r="T26" s="478"/>
      <c r="U26" s="478"/>
      <c r="V26" s="478"/>
      <c r="W26" s="478"/>
      <c r="X26" s="478"/>
      <c r="Y26" s="478"/>
      <c r="Z26" s="478"/>
      <c r="AA26" s="478"/>
      <c r="AB26" s="478"/>
      <c r="AC26" s="478"/>
      <c r="AD26" s="479"/>
      <c r="AE26" s="440"/>
      <c r="AF26" s="444"/>
      <c r="AG26" s="445"/>
      <c r="AH26" s="445"/>
      <c r="AI26" s="445"/>
      <c r="AJ26" s="445"/>
      <c r="AK26" s="445"/>
      <c r="AL26" s="445"/>
      <c r="AM26" s="445"/>
      <c r="AN26" s="445"/>
      <c r="AO26" s="445"/>
      <c r="AP26" s="445"/>
      <c r="AQ26" s="445"/>
      <c r="AR26" s="445"/>
      <c r="AS26" s="445"/>
      <c r="AT26" s="445"/>
      <c r="AU26" s="445"/>
      <c r="AV26" s="446"/>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row>
    <row r="27" spans="1:136" ht="30" customHeight="1" thickBot="1" x14ac:dyDescent="0.3">
      <c r="A27" s="388"/>
      <c r="B27" s="499" t="s">
        <v>63</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1"/>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row>
    <row r="28" spans="1:136" outlineLevel="1" x14ac:dyDescent="0.25">
      <c r="B28" s="412"/>
      <c r="C28" s="413"/>
      <c r="D28" s="413"/>
      <c r="E28" s="413"/>
      <c r="F28" s="413"/>
      <c r="G28" s="413"/>
      <c r="H28" s="413"/>
      <c r="I28" s="413"/>
      <c r="J28" s="413"/>
      <c r="K28" s="413"/>
      <c r="L28" s="414"/>
      <c r="N28" s="412"/>
      <c r="O28" s="413"/>
      <c r="P28" s="413"/>
      <c r="Q28" s="413"/>
      <c r="R28" s="413"/>
      <c r="S28" s="413"/>
      <c r="T28" s="413"/>
      <c r="U28" s="413"/>
      <c r="V28" s="413"/>
      <c r="W28" s="413"/>
      <c r="X28" s="413"/>
      <c r="Y28" s="413"/>
      <c r="Z28" s="413"/>
      <c r="AA28" s="413"/>
      <c r="AB28" s="413"/>
      <c r="AC28" s="413"/>
      <c r="AD28" s="414"/>
      <c r="AF28" s="412"/>
      <c r="AG28" s="413"/>
      <c r="AH28" s="413"/>
      <c r="AI28" s="413"/>
      <c r="AJ28" s="413"/>
      <c r="AK28" s="413"/>
      <c r="AL28" s="413"/>
      <c r="AM28" s="413"/>
      <c r="AN28" s="413"/>
      <c r="AO28" s="413"/>
      <c r="AP28" s="413"/>
      <c r="AQ28" s="413"/>
      <c r="AR28" s="413"/>
      <c r="AS28" s="413"/>
      <c r="AT28" s="413"/>
      <c r="AU28" s="413"/>
      <c r="AV28" s="414"/>
      <c r="AW28" s="388"/>
      <c r="AX28" s="388"/>
      <c r="AY28" s="388"/>
      <c r="AZ28" s="388"/>
      <c r="BA28" s="388"/>
      <c r="BB28" s="388"/>
      <c r="BC28" s="388"/>
      <c r="BD28" s="342"/>
      <c r="BE28" s="342"/>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row>
    <row r="29" spans="1:136" ht="15" customHeight="1" outlineLevel="1" x14ac:dyDescent="0.25">
      <c r="A29" s="388"/>
      <c r="B29" s="415" t="s">
        <v>112</v>
      </c>
      <c r="C29" s="416"/>
      <c r="D29" s="416"/>
      <c r="E29" s="416"/>
      <c r="F29" s="416"/>
      <c r="G29" s="416"/>
      <c r="H29" s="416"/>
      <c r="I29" s="416"/>
      <c r="J29" s="416"/>
      <c r="K29" s="416"/>
      <c r="L29" s="417"/>
      <c r="M29" s="342"/>
      <c r="N29" s="418" t="s">
        <v>53</v>
      </c>
      <c r="O29" s="289"/>
      <c r="P29" s="289"/>
      <c r="Q29" s="289"/>
      <c r="R29" s="289"/>
      <c r="S29" s="289"/>
      <c r="T29" s="289"/>
      <c r="U29" s="289"/>
      <c r="V29" s="289"/>
      <c r="W29" s="289"/>
      <c r="X29" s="289"/>
      <c r="Y29" s="289"/>
      <c r="Z29" s="289"/>
      <c r="AA29" s="289"/>
      <c r="AB29" s="289"/>
      <c r="AC29" s="289"/>
      <c r="AD29" s="419"/>
      <c r="AE29" s="420"/>
      <c r="AF29" s="418" t="s">
        <v>54</v>
      </c>
      <c r="AG29" s="289"/>
      <c r="AH29" s="289"/>
      <c r="AI29" s="289"/>
      <c r="AJ29" s="289"/>
      <c r="AK29" s="289"/>
      <c r="AL29" s="289"/>
      <c r="AM29" s="289"/>
      <c r="AN29" s="289"/>
      <c r="AO29" s="289"/>
      <c r="AP29" s="289"/>
      <c r="AQ29" s="289"/>
      <c r="AR29" s="289"/>
      <c r="AS29" s="289"/>
      <c r="AT29" s="289"/>
      <c r="AU29" s="289"/>
      <c r="AV29" s="419"/>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row>
    <row r="30" spans="1:136" ht="43.5" customHeight="1" outlineLevel="1" x14ac:dyDescent="0.25">
      <c r="A30" s="388"/>
      <c r="B30" s="421" t="s">
        <v>366</v>
      </c>
      <c r="C30" s="425"/>
      <c r="D30" s="425"/>
      <c r="E30" s="425"/>
      <c r="F30" s="425"/>
      <c r="G30" s="422" t="s">
        <v>367</v>
      </c>
      <c r="H30" s="270"/>
      <c r="I30" s="422" t="s">
        <v>368</v>
      </c>
      <c r="J30" s="447"/>
      <c r="K30" s="447"/>
      <c r="L30" s="401"/>
      <c r="M30" s="342"/>
      <c r="N30" s="269" t="s">
        <v>77</v>
      </c>
      <c r="O30" s="270"/>
      <c r="P30" s="422" t="s">
        <v>369</v>
      </c>
      <c r="Q30" s="270"/>
      <c r="R30" s="425"/>
      <c r="S30" s="422" t="s">
        <v>80</v>
      </c>
      <c r="T30" s="270"/>
      <c r="U30" s="422" t="s">
        <v>81</v>
      </c>
      <c r="V30" s="270"/>
      <c r="W30" s="425"/>
      <c r="X30" s="422" t="s">
        <v>370</v>
      </c>
      <c r="Y30" s="270"/>
      <c r="Z30" s="422" t="s">
        <v>371</v>
      </c>
      <c r="AA30" s="270"/>
      <c r="AB30" s="425"/>
      <c r="AC30" s="422" t="s">
        <v>372</v>
      </c>
      <c r="AD30" s="401"/>
      <c r="AE30" s="420"/>
      <c r="AF30" s="269" t="s">
        <v>54</v>
      </c>
      <c r="AG30" s="270"/>
      <c r="AH30" s="422" t="s">
        <v>373</v>
      </c>
      <c r="AI30" s="270"/>
      <c r="AJ30" s="425"/>
      <c r="AK30" s="422" t="s">
        <v>89</v>
      </c>
      <c r="AL30" s="270"/>
      <c r="AM30" s="422" t="s">
        <v>76</v>
      </c>
      <c r="AN30" s="270"/>
      <c r="AO30" s="425"/>
      <c r="AP30" s="422" t="s">
        <v>374</v>
      </c>
      <c r="AQ30" s="270"/>
      <c r="AR30" s="422" t="s">
        <v>375</v>
      </c>
      <c r="AS30" s="270"/>
      <c r="AT30" s="425"/>
      <c r="AU30" s="422" t="s">
        <v>376</v>
      </c>
      <c r="AV30" s="401"/>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row>
    <row r="31" spans="1:136" outlineLevel="1" x14ac:dyDescent="0.25">
      <c r="B31" s="426"/>
      <c r="C31" s="425"/>
      <c r="D31" s="425"/>
      <c r="E31" s="425"/>
      <c r="F31" s="425"/>
      <c r="G31" s="302">
        <f>SUM(G33:G38)</f>
        <v>0</v>
      </c>
      <c r="H31" s="427" t="s">
        <v>1</v>
      </c>
      <c r="I31" s="507"/>
      <c r="J31" s="449" t="s">
        <v>2</v>
      </c>
      <c r="K31" s="302">
        <f>SUM(K33:K38)</f>
        <v>0</v>
      </c>
      <c r="L31" s="428" t="s">
        <v>1</v>
      </c>
      <c r="M31" s="342"/>
      <c r="N31" s="450"/>
      <c r="O31" s="427" t="s">
        <v>0</v>
      </c>
      <c r="P31" s="302">
        <f>SUMPRODUCT('ETAPE 5'!G33:G38,'ETAPE 5'!N33:N38)</f>
        <v>0</v>
      </c>
      <c r="Q31" s="427" t="s">
        <v>6</v>
      </c>
      <c r="R31" s="425"/>
      <c r="S31" s="302">
        <f>'ETAPE 4'!Z31</f>
        <v>371.40238690543811</v>
      </c>
      <c r="T31" s="427" t="s">
        <v>72</v>
      </c>
      <c r="U31" s="302">
        <f>S31*$B$10</f>
        <v>0</v>
      </c>
      <c r="V31" s="427" t="s">
        <v>6</v>
      </c>
      <c r="W31" s="425"/>
      <c r="X31" s="302">
        <f>P31+U31</f>
        <v>0</v>
      </c>
      <c r="Y31" s="427" t="s">
        <v>6</v>
      </c>
      <c r="Z31" s="302">
        <f>IF($E$10&lt;&gt;0,X31/$E$10,0)</f>
        <v>0</v>
      </c>
      <c r="AA31" s="427" t="s">
        <v>72</v>
      </c>
      <c r="AB31" s="425"/>
      <c r="AC31" s="302">
        <f>$N$10/100*U31+SUMPRODUCT(K33:K38,N33:N38)</f>
        <v>0</v>
      </c>
      <c r="AD31" s="428" t="s">
        <v>6</v>
      </c>
      <c r="AE31" s="388"/>
      <c r="AF31" s="450"/>
      <c r="AG31" s="427" t="s">
        <v>20</v>
      </c>
      <c r="AH31" s="302">
        <f>SUMPRODUCT(G33:G38,AF33:AF38)</f>
        <v>0</v>
      </c>
      <c r="AI31" s="427" t="s">
        <v>21</v>
      </c>
      <c r="AJ31" s="425"/>
      <c r="AK31" s="302">
        <f>'ETAPE 4'!AR31</f>
        <v>0.3117655046283378</v>
      </c>
      <c r="AL31" s="427" t="s">
        <v>73</v>
      </c>
      <c r="AM31" s="448">
        <f>AK31*$B$10</f>
        <v>0</v>
      </c>
      <c r="AN31" s="427" t="s">
        <v>21</v>
      </c>
      <c r="AO31" s="425"/>
      <c r="AP31" s="302">
        <f>AH31+AM31</f>
        <v>0</v>
      </c>
      <c r="AQ31" s="427" t="s">
        <v>21</v>
      </c>
      <c r="AR31" s="302">
        <f>IF($E$10&lt;&gt;0,AP31/$E$10,0)</f>
        <v>0</v>
      </c>
      <c r="AS31" s="427" t="s">
        <v>73</v>
      </c>
      <c r="AT31" s="425"/>
      <c r="AU31" s="302">
        <f>$N$10/100*AM31+SUMPRODUCT(K33:K38,AF33:AF38)</f>
        <v>0</v>
      </c>
      <c r="AV31" s="428" t="s">
        <v>21</v>
      </c>
      <c r="AW31" s="388"/>
      <c r="AX31" s="342"/>
      <c r="AY31" s="342"/>
      <c r="AZ31" s="342"/>
      <c r="BA31" s="342"/>
      <c r="BB31" s="342"/>
      <c r="BC31" s="342"/>
      <c r="BD31" s="342"/>
      <c r="BE31" s="342"/>
      <c r="BF31" s="342"/>
      <c r="BG31" s="342"/>
      <c r="BH31" s="342"/>
      <c r="BI31" s="342"/>
      <c r="BJ31" s="342"/>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row>
    <row r="32" spans="1:136" ht="6.75" customHeight="1" outlineLevel="1" x14ac:dyDescent="0.25">
      <c r="A32" s="388"/>
      <c r="B32" s="431"/>
      <c r="C32" s="420"/>
      <c r="D32" s="420"/>
      <c r="E32" s="420"/>
      <c r="F32" s="420"/>
      <c r="G32" s="420"/>
      <c r="H32" s="420"/>
      <c r="I32" s="434"/>
      <c r="J32" s="434"/>
      <c r="K32" s="434"/>
      <c r="L32" s="451"/>
      <c r="M32" s="342"/>
      <c r="N32" s="431"/>
      <c r="O32" s="420"/>
      <c r="P32" s="420"/>
      <c r="Q32" s="420"/>
      <c r="R32" s="420"/>
      <c r="S32" s="420"/>
      <c r="T32" s="420"/>
      <c r="U32" s="420"/>
      <c r="V32" s="420"/>
      <c r="W32" s="420"/>
      <c r="X32" s="420"/>
      <c r="Y32" s="420"/>
      <c r="Z32" s="433"/>
      <c r="AA32" s="433"/>
      <c r="AB32" s="433"/>
      <c r="AC32" s="420"/>
      <c r="AD32" s="432"/>
      <c r="AE32" s="388"/>
      <c r="AF32" s="431"/>
      <c r="AG32" s="420"/>
      <c r="AH32" s="420"/>
      <c r="AI32" s="420"/>
      <c r="AJ32" s="420"/>
      <c r="AK32" s="420"/>
      <c r="AL32" s="420"/>
      <c r="AM32" s="420"/>
      <c r="AN32" s="420"/>
      <c r="AO32" s="420"/>
      <c r="AP32" s="420"/>
      <c r="AQ32" s="420"/>
      <c r="AR32" s="420"/>
      <c r="AS32" s="420"/>
      <c r="AT32" s="420"/>
      <c r="AU32" s="420"/>
      <c r="AV32" s="43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row>
    <row r="33" spans="1:136" outlineLevel="1" x14ac:dyDescent="0.25">
      <c r="B33" s="435"/>
      <c r="C33" s="425"/>
      <c r="D33" s="425"/>
      <c r="E33" s="425"/>
      <c r="F33" s="425"/>
      <c r="G33" s="436"/>
      <c r="H33" s="427" t="s">
        <v>1</v>
      </c>
      <c r="I33" s="452"/>
      <c r="J33" s="449" t="s">
        <v>2</v>
      </c>
      <c r="K33" s="302">
        <f>G33*I33/100</f>
        <v>0</v>
      </c>
      <c r="L33" s="428" t="s">
        <v>1</v>
      </c>
      <c r="M33" s="342"/>
      <c r="N33" s="437"/>
      <c r="O33" s="427" t="s">
        <v>0</v>
      </c>
      <c r="P33" s="438"/>
      <c r="Q33" s="438"/>
      <c r="R33" s="438"/>
      <c r="S33" s="438"/>
      <c r="T33" s="438"/>
      <c r="U33" s="438"/>
      <c r="V33" s="438"/>
      <c r="W33" s="438"/>
      <c r="X33" s="438"/>
      <c r="Y33" s="438"/>
      <c r="Z33" s="425"/>
      <c r="AA33" s="425"/>
      <c r="AB33" s="425"/>
      <c r="AC33" s="438"/>
      <c r="AD33" s="439"/>
      <c r="AE33" s="388"/>
      <c r="AF33" s="437"/>
      <c r="AG33" s="427" t="s">
        <v>20</v>
      </c>
      <c r="AH33" s="438"/>
      <c r="AI33" s="438"/>
      <c r="AJ33" s="438"/>
      <c r="AK33" s="438"/>
      <c r="AL33" s="438"/>
      <c r="AM33" s="438"/>
      <c r="AN33" s="438"/>
      <c r="AO33" s="438"/>
      <c r="AP33" s="438"/>
      <c r="AQ33" s="438"/>
      <c r="AR33" s="425"/>
      <c r="AS33" s="425"/>
      <c r="AT33" s="425"/>
      <c r="AU33" s="438"/>
      <c r="AV33" s="439"/>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row>
    <row r="34" spans="1:136" outlineLevel="1" x14ac:dyDescent="0.25">
      <c r="B34" s="435"/>
      <c r="C34" s="425"/>
      <c r="D34" s="425"/>
      <c r="E34" s="425"/>
      <c r="F34" s="425"/>
      <c r="G34" s="436"/>
      <c r="H34" s="427" t="s">
        <v>1</v>
      </c>
      <c r="I34" s="452"/>
      <c r="J34" s="449" t="s">
        <v>2</v>
      </c>
      <c r="K34" s="302">
        <f>G34*I34/100</f>
        <v>0</v>
      </c>
      <c r="L34" s="428" t="s">
        <v>1</v>
      </c>
      <c r="M34" s="342"/>
      <c r="N34" s="437"/>
      <c r="O34" s="427" t="s">
        <v>0</v>
      </c>
      <c r="P34" s="438"/>
      <c r="Q34" s="438"/>
      <c r="R34" s="438"/>
      <c r="S34" s="438"/>
      <c r="T34" s="438"/>
      <c r="U34" s="438"/>
      <c r="V34" s="438"/>
      <c r="W34" s="438"/>
      <c r="X34" s="438"/>
      <c r="Y34" s="438"/>
      <c r="Z34" s="425"/>
      <c r="AA34" s="425"/>
      <c r="AB34" s="425"/>
      <c r="AC34" s="438"/>
      <c r="AD34" s="439"/>
      <c r="AE34" s="388"/>
      <c r="AF34" s="437"/>
      <c r="AG34" s="427" t="s">
        <v>20</v>
      </c>
      <c r="AH34" s="438"/>
      <c r="AI34" s="438"/>
      <c r="AJ34" s="438"/>
      <c r="AK34" s="438"/>
      <c r="AL34" s="438"/>
      <c r="AM34" s="438"/>
      <c r="AN34" s="438"/>
      <c r="AO34" s="438"/>
      <c r="AP34" s="438"/>
      <c r="AQ34" s="438"/>
      <c r="AR34" s="425"/>
      <c r="AS34" s="425"/>
      <c r="AT34" s="425"/>
      <c r="AU34" s="438"/>
      <c r="AV34" s="439"/>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row>
    <row r="35" spans="1:136" outlineLevel="1" x14ac:dyDescent="0.25">
      <c r="B35" s="435"/>
      <c r="C35" s="425"/>
      <c r="D35" s="425"/>
      <c r="E35" s="425"/>
      <c r="F35" s="425"/>
      <c r="G35" s="436"/>
      <c r="H35" s="427" t="s">
        <v>1</v>
      </c>
      <c r="I35" s="452"/>
      <c r="J35" s="449" t="s">
        <v>2</v>
      </c>
      <c r="K35" s="302">
        <f t="shared" ref="K35:K38" si="1">G35*I35/100</f>
        <v>0</v>
      </c>
      <c r="L35" s="428" t="s">
        <v>1</v>
      </c>
      <c r="M35" s="342"/>
      <c r="N35" s="437" t="str">
        <f>IF(B35&lt;&gt;0,VLOOKUP(B35,GENERALITES!$B$36:$D$41,3,FALSE),"")</f>
        <v/>
      </c>
      <c r="O35" s="427" t="s">
        <v>0</v>
      </c>
      <c r="P35" s="438"/>
      <c r="Q35" s="438"/>
      <c r="R35" s="438"/>
      <c r="S35" s="438"/>
      <c r="T35" s="438"/>
      <c r="U35" s="438"/>
      <c r="V35" s="438"/>
      <c r="W35" s="438"/>
      <c r="X35" s="438"/>
      <c r="Y35" s="438"/>
      <c r="Z35" s="425"/>
      <c r="AA35" s="425"/>
      <c r="AB35" s="425"/>
      <c r="AC35" s="438"/>
      <c r="AD35" s="439"/>
      <c r="AE35" s="388"/>
      <c r="AF35" s="437" t="str">
        <f>IF(B35&lt;&gt;0,VLOOKUP(B35,GENERALITES!$B$36:$N$41,12,FALSE),"")</f>
        <v/>
      </c>
      <c r="AG35" s="427" t="s">
        <v>20</v>
      </c>
      <c r="AH35" s="438"/>
      <c r="AI35" s="438"/>
      <c r="AJ35" s="438"/>
      <c r="AK35" s="438"/>
      <c r="AL35" s="438"/>
      <c r="AM35" s="438"/>
      <c r="AN35" s="438"/>
      <c r="AO35" s="438"/>
      <c r="AP35" s="438"/>
      <c r="AQ35" s="438"/>
      <c r="AR35" s="425"/>
      <c r="AS35" s="425"/>
      <c r="AT35" s="425"/>
      <c r="AU35" s="438"/>
      <c r="AV35" s="439"/>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row>
    <row r="36" spans="1:136" outlineLevel="1" x14ac:dyDescent="0.25">
      <c r="B36" s="435"/>
      <c r="C36" s="425"/>
      <c r="D36" s="425"/>
      <c r="E36" s="425"/>
      <c r="F36" s="425"/>
      <c r="G36" s="436"/>
      <c r="H36" s="427" t="s">
        <v>1</v>
      </c>
      <c r="I36" s="452"/>
      <c r="J36" s="449" t="s">
        <v>2</v>
      </c>
      <c r="K36" s="302">
        <f t="shared" si="1"/>
        <v>0</v>
      </c>
      <c r="L36" s="428" t="s">
        <v>1</v>
      </c>
      <c r="M36" s="342"/>
      <c r="N36" s="437" t="str">
        <f>IF(B36&lt;&gt;0,VLOOKUP(B36,GENERALITES!$B$36:$D$41,3,FALSE),"")</f>
        <v/>
      </c>
      <c r="O36" s="427" t="s">
        <v>0</v>
      </c>
      <c r="P36" s="438"/>
      <c r="Q36" s="438"/>
      <c r="R36" s="438"/>
      <c r="S36" s="434"/>
      <c r="T36" s="438"/>
      <c r="U36" s="438"/>
      <c r="V36" s="438"/>
      <c r="W36" s="438"/>
      <c r="X36" s="438"/>
      <c r="Y36" s="438"/>
      <c r="Z36" s="425"/>
      <c r="AA36" s="425"/>
      <c r="AB36" s="425"/>
      <c r="AC36" s="438"/>
      <c r="AD36" s="439"/>
      <c r="AE36" s="388"/>
      <c r="AF36" s="437" t="str">
        <f>IF(B36&lt;&gt;0,VLOOKUP(B36,GENERALITES!$B$36:$N$41,12,FALSE),"")</f>
        <v/>
      </c>
      <c r="AG36" s="427" t="s">
        <v>20</v>
      </c>
      <c r="AH36" s="438"/>
      <c r="AI36" s="438"/>
      <c r="AJ36" s="438"/>
      <c r="AK36" s="438"/>
      <c r="AL36" s="438"/>
      <c r="AM36" s="438"/>
      <c r="AN36" s="438"/>
      <c r="AO36" s="438"/>
      <c r="AP36" s="438"/>
      <c r="AQ36" s="438"/>
      <c r="AR36" s="425"/>
      <c r="AS36" s="425"/>
      <c r="AT36" s="425"/>
      <c r="AU36" s="438"/>
      <c r="AV36" s="439"/>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row>
    <row r="37" spans="1:136" outlineLevel="1" x14ac:dyDescent="0.25">
      <c r="B37" s="435"/>
      <c r="C37" s="425"/>
      <c r="D37" s="425"/>
      <c r="E37" s="425"/>
      <c r="F37" s="425"/>
      <c r="G37" s="436"/>
      <c r="H37" s="427" t="s">
        <v>1</v>
      </c>
      <c r="I37" s="452"/>
      <c r="J37" s="449" t="s">
        <v>2</v>
      </c>
      <c r="K37" s="302">
        <f t="shared" si="1"/>
        <v>0</v>
      </c>
      <c r="L37" s="428" t="s">
        <v>1</v>
      </c>
      <c r="M37" s="342"/>
      <c r="N37" s="437" t="str">
        <f>IF(B37&lt;&gt;0,VLOOKUP(B37,GENERALITES!$B$36:$D$41,3,FALSE),"")</f>
        <v/>
      </c>
      <c r="O37" s="427" t="s">
        <v>0</v>
      </c>
      <c r="P37" s="438"/>
      <c r="Q37" s="438"/>
      <c r="R37" s="438"/>
      <c r="S37" s="438"/>
      <c r="T37" s="438"/>
      <c r="U37" s="438"/>
      <c r="V37" s="438"/>
      <c r="W37" s="438"/>
      <c r="X37" s="438"/>
      <c r="Y37" s="438"/>
      <c r="Z37" s="425"/>
      <c r="AA37" s="425"/>
      <c r="AB37" s="425"/>
      <c r="AC37" s="438"/>
      <c r="AD37" s="439"/>
      <c r="AE37" s="388"/>
      <c r="AF37" s="437" t="str">
        <f>IF(B37&lt;&gt;0,VLOOKUP(B37,GENERALITES!$B$36:$N$41,12,FALSE),"")</f>
        <v/>
      </c>
      <c r="AG37" s="427" t="s">
        <v>20</v>
      </c>
      <c r="AH37" s="438"/>
      <c r="AI37" s="438"/>
      <c r="AJ37" s="438"/>
      <c r="AK37" s="438"/>
      <c r="AL37" s="438"/>
      <c r="AM37" s="438"/>
      <c r="AN37" s="438"/>
      <c r="AO37" s="438"/>
      <c r="AP37" s="438"/>
      <c r="AQ37" s="438"/>
      <c r="AR37" s="425"/>
      <c r="AS37" s="425"/>
      <c r="AT37" s="425"/>
      <c r="AU37" s="438"/>
      <c r="AV37" s="439"/>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row>
    <row r="38" spans="1:136" outlineLevel="1" x14ac:dyDescent="0.25">
      <c r="B38" s="435"/>
      <c r="C38" s="425"/>
      <c r="D38" s="425"/>
      <c r="E38" s="425"/>
      <c r="F38" s="425"/>
      <c r="G38" s="436"/>
      <c r="H38" s="427" t="s">
        <v>1</v>
      </c>
      <c r="I38" s="452"/>
      <c r="J38" s="449" t="s">
        <v>2</v>
      </c>
      <c r="K38" s="302">
        <f t="shared" si="1"/>
        <v>0</v>
      </c>
      <c r="L38" s="428" t="s">
        <v>1</v>
      </c>
      <c r="M38" s="342"/>
      <c r="N38" s="437" t="str">
        <f>IF(B38&lt;&gt;0,VLOOKUP(B38,GENERALITES!$B$36:$D$41,3,FALSE),"")</f>
        <v/>
      </c>
      <c r="O38" s="427" t="s">
        <v>0</v>
      </c>
      <c r="P38" s="438"/>
      <c r="Q38" s="438"/>
      <c r="R38" s="438"/>
      <c r="S38" s="438"/>
      <c r="T38" s="438"/>
      <c r="U38" s="438"/>
      <c r="V38" s="438"/>
      <c r="W38" s="438"/>
      <c r="X38" s="438"/>
      <c r="Y38" s="438"/>
      <c r="Z38" s="425"/>
      <c r="AA38" s="425"/>
      <c r="AB38" s="425"/>
      <c r="AC38" s="438"/>
      <c r="AD38" s="439"/>
      <c r="AE38" s="388"/>
      <c r="AF38" s="437" t="str">
        <f>IF(B38&lt;&gt;0,VLOOKUP(B38,GENERALITES!$B$36:$N$41,12,FALSE),"")</f>
        <v/>
      </c>
      <c r="AG38" s="427" t="s">
        <v>20</v>
      </c>
      <c r="AH38" s="420"/>
      <c r="AI38" s="420"/>
      <c r="AJ38" s="420"/>
      <c r="AK38" s="420"/>
      <c r="AL38" s="420"/>
      <c r="AM38" s="420"/>
      <c r="AN38" s="420"/>
      <c r="AO38" s="420"/>
      <c r="AP38" s="420"/>
      <c r="AQ38" s="420"/>
      <c r="AR38" s="425"/>
      <c r="AS38" s="425"/>
      <c r="AT38" s="425"/>
      <c r="AU38" s="420"/>
      <c r="AV38" s="432"/>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row>
    <row r="39" spans="1:136" ht="15.75" thickBot="1" x14ac:dyDescent="0.3">
      <c r="A39" s="440"/>
      <c r="B39" s="477"/>
      <c r="C39" s="478"/>
      <c r="D39" s="478"/>
      <c r="E39" s="478"/>
      <c r="F39" s="478"/>
      <c r="G39" s="478"/>
      <c r="H39" s="478"/>
      <c r="I39" s="478"/>
      <c r="J39" s="478"/>
      <c r="K39" s="478"/>
      <c r="L39" s="479"/>
      <c r="M39" s="440"/>
      <c r="N39" s="477"/>
      <c r="O39" s="478"/>
      <c r="P39" s="478"/>
      <c r="Q39" s="478"/>
      <c r="R39" s="478"/>
      <c r="S39" s="478"/>
      <c r="T39" s="478"/>
      <c r="U39" s="478"/>
      <c r="V39" s="478"/>
      <c r="W39" s="478"/>
      <c r="X39" s="478"/>
      <c r="Y39" s="478"/>
      <c r="Z39" s="478"/>
      <c r="AA39" s="478"/>
      <c r="AB39" s="478"/>
      <c r="AC39" s="478"/>
      <c r="AD39" s="479"/>
      <c r="AE39" s="440"/>
      <c r="AF39" s="444"/>
      <c r="AG39" s="445"/>
      <c r="AH39" s="445"/>
      <c r="AI39" s="445"/>
      <c r="AJ39" s="445"/>
      <c r="AK39" s="445"/>
      <c r="AL39" s="445"/>
      <c r="AM39" s="445"/>
      <c r="AN39" s="445"/>
      <c r="AO39" s="445"/>
      <c r="AP39" s="445"/>
      <c r="AQ39" s="445"/>
      <c r="AR39" s="445"/>
      <c r="AS39" s="445"/>
      <c r="AT39" s="445"/>
      <c r="AU39" s="445"/>
      <c r="AV39" s="446"/>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row>
    <row r="40" spans="1:136" ht="30" customHeight="1" thickBot="1" x14ac:dyDescent="0.3">
      <c r="A40" s="388"/>
      <c r="B40" s="499" t="s">
        <v>62</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1"/>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row>
    <row r="41" spans="1:136" ht="15.75" thickBot="1" x14ac:dyDescent="0.3">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row>
    <row r="42" spans="1:136" ht="21.75" customHeight="1" thickBot="1" x14ac:dyDescent="0.3">
      <c r="A42" s="440"/>
      <c r="B42" s="453" t="s">
        <v>27</v>
      </c>
      <c r="C42" s="454"/>
      <c r="D42" s="454"/>
      <c r="E42" s="454"/>
      <c r="F42" s="454"/>
      <c r="G42" s="454"/>
      <c r="H42" s="455"/>
      <c r="I42" s="456"/>
      <c r="J42" s="456"/>
      <c r="K42" s="456"/>
      <c r="L42" s="456"/>
      <c r="M42" s="456"/>
      <c r="N42" s="342"/>
      <c r="O42" s="342"/>
      <c r="P42" s="342"/>
      <c r="Q42" s="342"/>
      <c r="R42" s="342"/>
      <c r="S42" s="342"/>
      <c r="T42" s="342"/>
      <c r="U42" s="342"/>
      <c r="V42" s="342"/>
      <c r="W42" s="342"/>
      <c r="X42" s="342"/>
      <c r="Y42" s="342"/>
      <c r="Z42" s="342"/>
      <c r="AA42" s="342"/>
      <c r="AB42" s="342"/>
      <c r="AC42" s="342"/>
      <c r="AD42" s="342"/>
      <c r="AE42" s="440"/>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row>
    <row r="43" spans="1:136" outlineLevel="1" x14ac:dyDescent="0.25">
      <c r="A43" s="440"/>
      <c r="B43" s="457"/>
      <c r="C43" s="458"/>
      <c r="D43" s="458"/>
      <c r="E43" s="458"/>
      <c r="F43" s="458"/>
      <c r="G43" s="458"/>
      <c r="H43" s="458"/>
      <c r="I43" s="458"/>
      <c r="J43" s="458"/>
      <c r="K43" s="458"/>
      <c r="L43" s="459"/>
      <c r="M43" s="440"/>
      <c r="N43" s="457"/>
      <c r="O43" s="458"/>
      <c r="P43" s="458"/>
      <c r="Q43" s="458"/>
      <c r="R43" s="458"/>
      <c r="S43" s="458"/>
      <c r="T43" s="458"/>
      <c r="U43" s="458"/>
      <c r="V43" s="458"/>
      <c r="W43" s="458"/>
      <c r="X43" s="458"/>
      <c r="Y43" s="458"/>
      <c r="Z43" s="458"/>
      <c r="AA43" s="458"/>
      <c r="AB43" s="458"/>
      <c r="AC43" s="458"/>
      <c r="AD43" s="459"/>
      <c r="AE43" s="440"/>
      <c r="AF43" s="460"/>
      <c r="AG43" s="461"/>
      <c r="AH43" s="461"/>
      <c r="AI43" s="461"/>
      <c r="AJ43" s="461"/>
      <c r="AK43" s="461"/>
      <c r="AL43" s="461"/>
      <c r="AM43" s="461"/>
      <c r="AN43" s="461"/>
      <c r="AO43" s="461"/>
      <c r="AP43" s="461"/>
      <c r="AQ43" s="461"/>
      <c r="AR43" s="461"/>
      <c r="AS43" s="461"/>
      <c r="AT43" s="461"/>
      <c r="AU43" s="461"/>
      <c r="AV43" s="462"/>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row>
    <row r="44" spans="1:136" ht="15" customHeight="1" outlineLevel="1" x14ac:dyDescent="0.25">
      <c r="A44" s="463"/>
      <c r="B44" s="415" t="s">
        <v>47</v>
      </c>
      <c r="C44" s="416"/>
      <c r="D44" s="416"/>
      <c r="E44" s="416"/>
      <c r="F44" s="416"/>
      <c r="G44" s="416"/>
      <c r="H44" s="416"/>
      <c r="I44" s="416"/>
      <c r="J44" s="416"/>
      <c r="K44" s="416"/>
      <c r="L44" s="417"/>
      <c r="M44" s="433"/>
      <c r="N44" s="418" t="s">
        <v>46</v>
      </c>
      <c r="O44" s="289"/>
      <c r="P44" s="289"/>
      <c r="Q44" s="289"/>
      <c r="R44" s="289"/>
      <c r="S44" s="289"/>
      <c r="T44" s="289"/>
      <c r="U44" s="289"/>
      <c r="V44" s="289"/>
      <c r="W44" s="289"/>
      <c r="X44" s="289"/>
      <c r="Y44" s="289"/>
      <c r="Z44" s="289"/>
      <c r="AA44" s="289"/>
      <c r="AB44" s="289"/>
      <c r="AC44" s="289"/>
      <c r="AD44" s="419"/>
      <c r="AE44" s="388"/>
      <c r="AF44" s="418" t="s">
        <v>41</v>
      </c>
      <c r="AG44" s="289"/>
      <c r="AH44" s="289"/>
      <c r="AI44" s="289"/>
      <c r="AJ44" s="289"/>
      <c r="AK44" s="289"/>
      <c r="AL44" s="289"/>
      <c r="AM44" s="289"/>
      <c r="AN44" s="289"/>
      <c r="AO44" s="289"/>
      <c r="AP44" s="289"/>
      <c r="AQ44" s="289"/>
      <c r="AR44" s="289"/>
      <c r="AS44" s="289"/>
      <c r="AT44" s="289"/>
      <c r="AU44" s="289"/>
      <c r="AV44" s="419"/>
      <c r="AX44" s="342"/>
      <c r="AY44" s="342"/>
      <c r="AZ44" s="342"/>
      <c r="BA44" s="342"/>
      <c r="BB44" s="342"/>
      <c r="BC44" s="342"/>
      <c r="BD44" s="342"/>
      <c r="BE44" s="342"/>
      <c r="BF44" s="342"/>
      <c r="BG44" s="342"/>
      <c r="BH44" s="342"/>
      <c r="BI44" s="342"/>
      <c r="BJ44" s="342"/>
    </row>
    <row r="45" spans="1:136" ht="43.5" customHeight="1" outlineLevel="1" x14ac:dyDescent="0.25">
      <c r="A45" s="463"/>
      <c r="B45" s="464" t="s">
        <v>17</v>
      </c>
      <c r="C45" s="425"/>
      <c r="D45" s="425"/>
      <c r="E45" s="425"/>
      <c r="F45" s="425"/>
      <c r="G45" s="422" t="s">
        <v>377</v>
      </c>
      <c r="H45" s="270"/>
      <c r="I45" s="422" t="s">
        <v>378</v>
      </c>
      <c r="J45" s="447"/>
      <c r="K45" s="447"/>
      <c r="L45" s="401"/>
      <c r="M45" s="420"/>
      <c r="N45" s="269" t="s">
        <v>78</v>
      </c>
      <c r="O45" s="270"/>
      <c r="P45" s="422" t="s">
        <v>379</v>
      </c>
      <c r="Q45" s="270"/>
      <c r="R45" s="425"/>
      <c r="S45" s="422" t="s">
        <v>79</v>
      </c>
      <c r="T45" s="270"/>
      <c r="U45" s="422" t="s">
        <v>82</v>
      </c>
      <c r="V45" s="270"/>
      <c r="W45" s="425"/>
      <c r="X45" s="422" t="s">
        <v>380</v>
      </c>
      <c r="Y45" s="270"/>
      <c r="Z45" s="422" t="s">
        <v>381</v>
      </c>
      <c r="AA45" s="270"/>
      <c r="AB45" s="425"/>
      <c r="AC45" s="422" t="s">
        <v>382</v>
      </c>
      <c r="AD45" s="401"/>
      <c r="AE45" s="388"/>
      <c r="AF45" s="269" t="s">
        <v>41</v>
      </c>
      <c r="AG45" s="270"/>
      <c r="AH45" s="422" t="s">
        <v>383</v>
      </c>
      <c r="AI45" s="270"/>
      <c r="AJ45" s="425"/>
      <c r="AK45" s="422" t="s">
        <v>87</v>
      </c>
      <c r="AL45" s="270"/>
      <c r="AM45" s="422" t="s">
        <v>83</v>
      </c>
      <c r="AN45" s="270"/>
      <c r="AO45" s="425"/>
      <c r="AP45" s="422" t="s">
        <v>384</v>
      </c>
      <c r="AQ45" s="270"/>
      <c r="AR45" s="422" t="s">
        <v>385</v>
      </c>
      <c r="AS45" s="270"/>
      <c r="AT45" s="425"/>
      <c r="AU45" s="422" t="s">
        <v>386</v>
      </c>
      <c r="AV45" s="401"/>
      <c r="AX45" s="342"/>
      <c r="AY45" s="342"/>
      <c r="AZ45" s="342"/>
      <c r="BA45" s="342"/>
      <c r="BB45" s="342"/>
      <c r="BC45" s="342"/>
      <c r="BD45" s="342"/>
      <c r="BE45" s="342"/>
      <c r="BF45" s="342"/>
      <c r="BG45" s="342"/>
      <c r="BH45" s="342"/>
      <c r="BI45" s="342"/>
      <c r="BJ45" s="342"/>
    </row>
    <row r="46" spans="1:136" ht="15" customHeight="1" outlineLevel="1" x14ac:dyDescent="0.25">
      <c r="A46" s="463"/>
      <c r="B46" s="435" t="s">
        <v>18</v>
      </c>
      <c r="C46" s="425"/>
      <c r="D46" s="425"/>
      <c r="E46" s="425"/>
      <c r="F46" s="425"/>
      <c r="G46" s="469"/>
      <c r="H46" s="427" t="str">
        <f>GENERALITES!$D$13</f>
        <v>kWh</v>
      </c>
      <c r="I46" s="448">
        <f>$N$10</f>
        <v>0</v>
      </c>
      <c r="J46" s="449" t="s">
        <v>2</v>
      </c>
      <c r="K46" s="302">
        <f>IF(B46=Annexes!$B$3,G46*I46/100,SUMPRODUCT(G49:G52,I49:I52/100))</f>
        <v>0</v>
      </c>
      <c r="L46" s="428" t="str">
        <f>GENERALITES!$D$13</f>
        <v>kWh</v>
      </c>
      <c r="M46" s="420"/>
      <c r="N46" s="437">
        <f>GENERALITES!$D$46</f>
        <v>0.15</v>
      </c>
      <c r="O46" s="427" t="str">
        <f>GENERALITES!$E$46</f>
        <v>€ / kWh</v>
      </c>
      <c r="P46" s="302">
        <f>IF(B46=Annexes!$B$3,G46*N46,SUM(G49:G52)*N46)</f>
        <v>0</v>
      </c>
      <c r="Q46" s="427" t="s">
        <v>6</v>
      </c>
      <c r="R46" s="425"/>
      <c r="S46" s="302">
        <f>'ETAPE 4'!Z46</f>
        <v>70.344984639438593</v>
      </c>
      <c r="T46" s="427" t="s">
        <v>72</v>
      </c>
      <c r="U46" s="448">
        <f>S46*$B$10</f>
        <v>0</v>
      </c>
      <c r="V46" s="427" t="s">
        <v>6</v>
      </c>
      <c r="W46" s="425"/>
      <c r="X46" s="302">
        <f>P46+U46</f>
        <v>0</v>
      </c>
      <c r="Y46" s="427" t="s">
        <v>6</v>
      </c>
      <c r="Z46" s="302">
        <f>IF($E$10&lt;&gt;0,X46/$E$10,0)</f>
        <v>0</v>
      </c>
      <c r="AA46" s="427" t="s">
        <v>72</v>
      </c>
      <c r="AB46" s="425"/>
      <c r="AC46" s="302">
        <f>$N$10/100*U46+IF(B46=Annexes!$B$3,I46/100*P46,IF(SUM(G49:G52)&gt;0,K46/SUM(G49:G52)*P46,0))</f>
        <v>0</v>
      </c>
      <c r="AD46" s="428" t="s">
        <v>6</v>
      </c>
      <c r="AE46" s="388"/>
      <c r="AF46" s="437">
        <f>GENERALITES!$M$46</f>
        <v>7.85E-4</v>
      </c>
      <c r="AG46" s="427" t="str">
        <f>GENERALITES!$N$46</f>
        <v>TCO2 / kWh</v>
      </c>
      <c r="AH46" s="302">
        <f>IF(B46=Annexes!$B$3,G46*AF46,SUM(G49:G52)*AF46)</f>
        <v>0</v>
      </c>
      <c r="AI46" s="427" t="s">
        <v>21</v>
      </c>
      <c r="AJ46" s="425"/>
      <c r="AK46" s="302">
        <f>'ETAPE 4'!AR46</f>
        <v>0.36813875294639531</v>
      </c>
      <c r="AL46" s="427" t="s">
        <v>73</v>
      </c>
      <c r="AM46" s="448">
        <f>AK46*$B$10</f>
        <v>0</v>
      </c>
      <c r="AN46" s="427" t="s">
        <v>21</v>
      </c>
      <c r="AO46" s="425"/>
      <c r="AP46" s="302">
        <f>AH46+AM46</f>
        <v>0</v>
      </c>
      <c r="AQ46" s="427" t="s">
        <v>21</v>
      </c>
      <c r="AR46" s="302">
        <f>IF($E$10&lt;&gt;0,AP46/$E$10,0)</f>
        <v>0</v>
      </c>
      <c r="AS46" s="427" t="s">
        <v>73</v>
      </c>
      <c r="AT46" s="425"/>
      <c r="AU46" s="302">
        <f>$N$10/100*AM46+IF(B46=Annexes!$B$3,I46/100*AH46,IF(SUM(G49:G52)&gt;0,K46/SUM(G49:G52)*AH46,0))</f>
        <v>0</v>
      </c>
      <c r="AV46" s="428" t="s">
        <v>21</v>
      </c>
      <c r="AX46" s="342"/>
      <c r="AY46" s="342"/>
      <c r="AZ46" s="342"/>
      <c r="BA46" s="342"/>
      <c r="BB46" s="342"/>
      <c r="BC46" s="342"/>
      <c r="BD46" s="342"/>
      <c r="BE46" s="342"/>
      <c r="BF46" s="342"/>
      <c r="BG46" s="342"/>
      <c r="BH46" s="342"/>
      <c r="BI46" s="342"/>
      <c r="BJ46" s="342"/>
    </row>
    <row r="47" spans="1:136" ht="6.75" customHeight="1" outlineLevel="1" x14ac:dyDescent="0.25">
      <c r="A47" s="388"/>
      <c r="B47" s="431"/>
      <c r="C47" s="425"/>
      <c r="D47" s="425"/>
      <c r="E47" s="425"/>
      <c r="F47" s="425"/>
      <c r="G47" s="420"/>
      <c r="H47" s="420"/>
      <c r="I47" s="420"/>
      <c r="J47" s="420"/>
      <c r="K47" s="420"/>
      <c r="L47" s="432"/>
      <c r="M47" s="420"/>
      <c r="N47" s="431"/>
      <c r="O47" s="420"/>
      <c r="P47" s="420"/>
      <c r="Q47" s="420"/>
      <c r="R47" s="420"/>
      <c r="S47" s="420"/>
      <c r="T47" s="420"/>
      <c r="U47" s="420"/>
      <c r="V47" s="420"/>
      <c r="W47" s="420"/>
      <c r="X47" s="420"/>
      <c r="Y47" s="420"/>
      <c r="Z47" s="420"/>
      <c r="AA47" s="420"/>
      <c r="AB47" s="420"/>
      <c r="AC47" s="420"/>
      <c r="AD47" s="432"/>
      <c r="AE47" s="388"/>
      <c r="AF47" s="431"/>
      <c r="AG47" s="420"/>
      <c r="AH47" s="420"/>
      <c r="AI47" s="420"/>
      <c r="AJ47" s="420"/>
      <c r="AK47" s="420"/>
      <c r="AL47" s="420"/>
      <c r="AM47" s="420"/>
      <c r="AN47" s="420"/>
      <c r="AO47" s="420"/>
      <c r="AP47" s="420"/>
      <c r="AQ47" s="420"/>
      <c r="AR47" s="420"/>
      <c r="AS47" s="420"/>
      <c r="AT47" s="420"/>
      <c r="AU47" s="420"/>
      <c r="AV47" s="43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row>
    <row r="48" spans="1:136" ht="15" customHeight="1" outlineLevel="1" x14ac:dyDescent="0.25">
      <c r="A48" s="463"/>
      <c r="B48" s="464" t="s">
        <v>7</v>
      </c>
      <c r="C48" s="425"/>
      <c r="D48" s="425"/>
      <c r="E48" s="425"/>
      <c r="F48" s="425"/>
      <c r="G48" s="425"/>
      <c r="H48" s="425"/>
      <c r="I48" s="434"/>
      <c r="J48" s="434"/>
      <c r="K48" s="425"/>
      <c r="L48" s="470"/>
      <c r="M48" s="420"/>
      <c r="N48" s="471"/>
      <c r="O48" s="425"/>
      <c r="P48" s="425"/>
      <c r="Q48" s="425"/>
      <c r="R48" s="425"/>
      <c r="S48" s="425"/>
      <c r="T48" s="425"/>
      <c r="U48" s="425"/>
      <c r="V48" s="425"/>
      <c r="W48" s="425"/>
      <c r="X48" s="425"/>
      <c r="Y48" s="425"/>
      <c r="Z48" s="433"/>
      <c r="AA48" s="433"/>
      <c r="AB48" s="433"/>
      <c r="AC48" s="420"/>
      <c r="AD48" s="432"/>
      <c r="AE48" s="388"/>
      <c r="AF48" s="431"/>
      <c r="AG48" s="420"/>
      <c r="AH48" s="420"/>
      <c r="AI48" s="420"/>
      <c r="AJ48" s="420"/>
      <c r="AK48" s="420"/>
      <c r="AL48" s="420"/>
      <c r="AM48" s="420"/>
      <c r="AN48" s="420"/>
      <c r="AO48" s="420"/>
      <c r="AP48" s="420"/>
      <c r="AQ48" s="420"/>
      <c r="AR48" s="420"/>
      <c r="AS48" s="420"/>
      <c r="AT48" s="420"/>
      <c r="AU48" s="420"/>
      <c r="AV48" s="432"/>
    </row>
    <row r="49" spans="1:136" outlineLevel="1" x14ac:dyDescent="0.25">
      <c r="A49" s="463"/>
      <c r="B49" s="472"/>
      <c r="C49" s="425"/>
      <c r="D49" s="425"/>
      <c r="E49" s="425"/>
      <c r="F49" s="425"/>
      <c r="G49" s="473"/>
      <c r="H49" s="427" t="str">
        <f>GENERALITES!$D$13</f>
        <v>kWh</v>
      </c>
      <c r="I49" s="436"/>
      <c r="J49" s="430" t="s">
        <v>2</v>
      </c>
      <c r="K49" s="425"/>
      <c r="L49" s="470"/>
      <c r="M49" s="420"/>
      <c r="N49" s="471"/>
      <c r="O49" s="425"/>
      <c r="P49" s="425"/>
      <c r="Q49" s="425"/>
      <c r="R49" s="425"/>
      <c r="S49" s="425"/>
      <c r="T49" s="425"/>
      <c r="U49" s="425"/>
      <c r="V49" s="425"/>
      <c r="W49" s="425"/>
      <c r="X49" s="425"/>
      <c r="Y49" s="425"/>
      <c r="Z49" s="475"/>
      <c r="AA49" s="475"/>
      <c r="AB49" s="475"/>
      <c r="AC49" s="420"/>
      <c r="AD49" s="432"/>
      <c r="AE49" s="388"/>
      <c r="AF49" s="431"/>
      <c r="AG49" s="420"/>
      <c r="AH49" s="420"/>
      <c r="AI49" s="420"/>
      <c r="AJ49" s="420"/>
      <c r="AK49" s="420"/>
      <c r="AL49" s="420"/>
      <c r="AM49" s="420"/>
      <c r="AN49" s="420"/>
      <c r="AO49" s="420"/>
      <c r="AP49" s="420"/>
      <c r="AQ49" s="420"/>
      <c r="AR49" s="420"/>
      <c r="AS49" s="420"/>
      <c r="AT49" s="420"/>
      <c r="AU49" s="420"/>
      <c r="AV49" s="432"/>
    </row>
    <row r="50" spans="1:136" outlineLevel="1" x14ac:dyDescent="0.25">
      <c r="A50" s="463"/>
      <c r="B50" s="472"/>
      <c r="C50" s="425"/>
      <c r="D50" s="425"/>
      <c r="E50" s="425"/>
      <c r="F50" s="425"/>
      <c r="G50" s="473"/>
      <c r="H50" s="427" t="str">
        <f>GENERALITES!$D$13</f>
        <v>kWh</v>
      </c>
      <c r="I50" s="436"/>
      <c r="J50" s="430" t="s">
        <v>2</v>
      </c>
      <c r="K50" s="425"/>
      <c r="L50" s="470"/>
      <c r="M50" s="420"/>
      <c r="N50" s="471"/>
      <c r="O50" s="425"/>
      <c r="P50" s="425"/>
      <c r="Q50" s="425"/>
      <c r="R50" s="425"/>
      <c r="S50" s="425"/>
      <c r="T50" s="425"/>
      <c r="U50" s="425"/>
      <c r="V50" s="425"/>
      <c r="W50" s="425"/>
      <c r="X50" s="425"/>
      <c r="Y50" s="425"/>
      <c r="Z50" s="433"/>
      <c r="AA50" s="433"/>
      <c r="AB50" s="433"/>
      <c r="AC50" s="420"/>
      <c r="AD50" s="432"/>
      <c r="AE50" s="388"/>
      <c r="AF50" s="431"/>
      <c r="AG50" s="420"/>
      <c r="AH50" s="420"/>
      <c r="AI50" s="420"/>
      <c r="AJ50" s="420"/>
      <c r="AK50" s="420"/>
      <c r="AL50" s="420"/>
      <c r="AM50" s="420"/>
      <c r="AN50" s="420"/>
      <c r="AO50" s="420"/>
      <c r="AP50" s="420"/>
      <c r="AQ50" s="420"/>
      <c r="AR50" s="420"/>
      <c r="AS50" s="420"/>
      <c r="AT50" s="420"/>
      <c r="AU50" s="420"/>
      <c r="AV50" s="432"/>
    </row>
    <row r="51" spans="1:136" outlineLevel="1" x14ac:dyDescent="0.25">
      <c r="A51" s="463"/>
      <c r="B51" s="472"/>
      <c r="C51" s="425"/>
      <c r="D51" s="425"/>
      <c r="E51" s="425"/>
      <c r="F51" s="425"/>
      <c r="G51" s="473"/>
      <c r="H51" s="427" t="str">
        <f>GENERALITES!$D$13</f>
        <v>kWh</v>
      </c>
      <c r="I51" s="436"/>
      <c r="J51" s="430" t="s">
        <v>2</v>
      </c>
      <c r="K51" s="425"/>
      <c r="L51" s="470"/>
      <c r="M51" s="420"/>
      <c r="N51" s="471"/>
      <c r="O51" s="425"/>
      <c r="P51" s="425"/>
      <c r="Q51" s="425"/>
      <c r="R51" s="425"/>
      <c r="S51" s="425"/>
      <c r="T51" s="425"/>
      <c r="U51" s="425"/>
      <c r="V51" s="425"/>
      <c r="W51" s="425"/>
      <c r="X51" s="425"/>
      <c r="Y51" s="425"/>
      <c r="Z51" s="433"/>
      <c r="AA51" s="433"/>
      <c r="AB51" s="433"/>
      <c r="AC51" s="420"/>
      <c r="AD51" s="439"/>
      <c r="AE51" s="476"/>
      <c r="AF51" s="431"/>
      <c r="AG51" s="420"/>
      <c r="AH51" s="420"/>
      <c r="AI51" s="420"/>
      <c r="AJ51" s="420"/>
      <c r="AK51" s="420"/>
      <c r="AL51" s="420"/>
      <c r="AM51" s="420"/>
      <c r="AN51" s="420"/>
      <c r="AO51" s="420"/>
      <c r="AP51" s="420"/>
      <c r="AQ51" s="420"/>
      <c r="AR51" s="420"/>
      <c r="AS51" s="420"/>
      <c r="AT51" s="420"/>
      <c r="AU51" s="420"/>
      <c r="AV51" s="432"/>
    </row>
    <row r="52" spans="1:136" outlineLevel="1" x14ac:dyDescent="0.25">
      <c r="B52" s="472"/>
      <c r="C52" s="425"/>
      <c r="D52" s="425"/>
      <c r="E52" s="425"/>
      <c r="F52" s="425"/>
      <c r="G52" s="473"/>
      <c r="H52" s="427" t="str">
        <f>GENERALITES!$D$13</f>
        <v>kWh</v>
      </c>
      <c r="I52" s="436"/>
      <c r="J52" s="430" t="s">
        <v>2</v>
      </c>
      <c r="K52" s="425"/>
      <c r="L52" s="470"/>
      <c r="M52" s="420"/>
      <c r="N52" s="471"/>
      <c r="O52" s="425"/>
      <c r="P52" s="425"/>
      <c r="Q52" s="425"/>
      <c r="R52" s="425"/>
      <c r="S52" s="425"/>
      <c r="T52" s="425"/>
      <c r="U52" s="425"/>
      <c r="V52" s="425"/>
      <c r="W52" s="425"/>
      <c r="X52" s="425"/>
      <c r="Y52" s="425"/>
      <c r="Z52" s="433"/>
      <c r="AA52" s="433"/>
      <c r="AB52" s="433"/>
      <c r="AC52" s="420"/>
      <c r="AD52" s="439"/>
      <c r="AE52" s="476"/>
      <c r="AF52" s="431"/>
      <c r="AG52" s="420"/>
      <c r="AH52" s="420"/>
      <c r="AI52" s="420"/>
      <c r="AJ52" s="420"/>
      <c r="AK52" s="420"/>
      <c r="AL52" s="420"/>
      <c r="AM52" s="420"/>
      <c r="AN52" s="420"/>
      <c r="AO52" s="420"/>
      <c r="AP52" s="420"/>
      <c r="AQ52" s="420"/>
      <c r="AR52" s="420"/>
      <c r="AS52" s="420"/>
      <c r="AT52" s="420"/>
      <c r="AU52" s="420"/>
      <c r="AV52" s="432"/>
    </row>
    <row r="53" spans="1:136" ht="15.75" thickBot="1" x14ac:dyDescent="0.3">
      <c r="A53" s="440"/>
      <c r="B53" s="477"/>
      <c r="C53" s="478"/>
      <c r="D53" s="478"/>
      <c r="E53" s="478"/>
      <c r="F53" s="478"/>
      <c r="G53" s="478"/>
      <c r="H53" s="478"/>
      <c r="I53" s="478"/>
      <c r="J53" s="478"/>
      <c r="K53" s="478"/>
      <c r="L53" s="479"/>
      <c r="M53" s="440"/>
      <c r="N53" s="477"/>
      <c r="O53" s="478"/>
      <c r="P53" s="478"/>
      <c r="Q53" s="478"/>
      <c r="R53" s="478"/>
      <c r="S53" s="478"/>
      <c r="T53" s="478"/>
      <c r="U53" s="478"/>
      <c r="V53" s="478"/>
      <c r="W53" s="478"/>
      <c r="X53" s="478"/>
      <c r="Y53" s="478"/>
      <c r="Z53" s="478"/>
      <c r="AA53" s="478"/>
      <c r="AB53" s="478"/>
      <c r="AC53" s="478"/>
      <c r="AD53" s="479"/>
      <c r="AE53" s="440"/>
      <c r="AF53" s="444"/>
      <c r="AG53" s="445"/>
      <c r="AH53" s="445"/>
      <c r="AI53" s="445"/>
      <c r="AJ53" s="445"/>
      <c r="AK53" s="445"/>
      <c r="AL53" s="445"/>
      <c r="AM53" s="445"/>
      <c r="AN53" s="445"/>
      <c r="AO53" s="445"/>
      <c r="AP53" s="445"/>
      <c r="AQ53" s="445"/>
      <c r="AR53" s="445"/>
      <c r="AS53" s="445"/>
      <c r="AT53" s="445"/>
      <c r="AU53" s="445"/>
      <c r="AV53" s="446"/>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c r="DJ53" s="388"/>
      <c r="DK53" s="388"/>
      <c r="DL53" s="388"/>
      <c r="DM53" s="388"/>
      <c r="DN53" s="388"/>
      <c r="DO53" s="388"/>
      <c r="DP53" s="388"/>
      <c r="DQ53" s="388"/>
      <c r="DR53" s="388"/>
      <c r="DS53" s="388"/>
      <c r="DT53" s="388"/>
      <c r="DU53" s="388"/>
      <c r="DV53" s="388"/>
      <c r="DW53" s="388"/>
      <c r="DX53" s="388"/>
      <c r="DY53" s="388"/>
      <c r="DZ53" s="388"/>
      <c r="EA53" s="388"/>
      <c r="EB53" s="388"/>
      <c r="EC53" s="388"/>
      <c r="ED53" s="388"/>
      <c r="EE53" s="388"/>
      <c r="EF53" s="388"/>
    </row>
    <row r="54" spans="1:136" ht="21.75" customHeight="1" thickBot="1" x14ac:dyDescent="0.3">
      <c r="A54" s="440"/>
      <c r="B54" s="508" t="s">
        <v>28</v>
      </c>
      <c r="C54" s="509"/>
      <c r="D54" s="509"/>
      <c r="E54" s="509"/>
      <c r="F54" s="509"/>
      <c r="G54" s="509"/>
      <c r="H54" s="510"/>
      <c r="I54" s="342"/>
      <c r="J54" s="342"/>
      <c r="K54" s="342"/>
      <c r="L54" s="342"/>
      <c r="M54" s="342"/>
      <c r="N54" s="342"/>
      <c r="O54" s="342"/>
      <c r="P54" s="342"/>
      <c r="Q54" s="342"/>
      <c r="R54" s="342"/>
      <c r="S54" s="342"/>
      <c r="T54" s="342"/>
      <c r="U54" s="342"/>
      <c r="V54" s="342"/>
      <c r="W54" s="342"/>
      <c r="X54" s="342"/>
      <c r="Y54" s="342"/>
      <c r="Z54" s="342"/>
      <c r="AA54" s="342"/>
      <c r="AB54" s="342"/>
      <c r="AC54" s="342"/>
      <c r="AD54" s="342"/>
      <c r="AE54" s="440"/>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c r="DJ54" s="388"/>
      <c r="DK54" s="388"/>
      <c r="DL54" s="388"/>
      <c r="DM54" s="388"/>
      <c r="DN54" s="388"/>
      <c r="DO54" s="388"/>
      <c r="DP54" s="388"/>
      <c r="DQ54" s="388"/>
      <c r="DR54" s="388"/>
      <c r="DS54" s="388"/>
      <c r="DT54" s="388"/>
      <c r="DU54" s="388"/>
      <c r="DV54" s="388"/>
      <c r="DW54" s="388"/>
      <c r="DX54" s="388"/>
      <c r="DY54" s="388"/>
      <c r="DZ54" s="388"/>
      <c r="EA54" s="388"/>
      <c r="EB54" s="388"/>
      <c r="EC54" s="388"/>
      <c r="ED54" s="388"/>
      <c r="EE54" s="388"/>
      <c r="EF54" s="388"/>
    </row>
    <row r="55" spans="1:136" ht="15.75" outlineLevel="1" thickBot="1" x14ac:dyDescent="0.3">
      <c r="B55" s="412"/>
      <c r="C55" s="413"/>
      <c r="D55" s="413"/>
      <c r="E55" s="413"/>
      <c r="F55" s="413"/>
      <c r="G55" s="413"/>
      <c r="H55" s="413"/>
      <c r="I55" s="413"/>
      <c r="J55" s="413"/>
      <c r="K55" s="413"/>
      <c r="L55" s="414"/>
      <c r="N55" s="412"/>
      <c r="O55" s="413"/>
      <c r="P55" s="413"/>
      <c r="Q55" s="413"/>
      <c r="R55" s="413"/>
      <c r="S55" s="413"/>
      <c r="T55" s="413"/>
      <c r="U55" s="413"/>
      <c r="V55" s="413"/>
      <c r="W55" s="413"/>
      <c r="X55" s="413"/>
      <c r="Y55" s="413"/>
      <c r="Z55" s="413"/>
      <c r="AA55" s="413"/>
      <c r="AB55" s="413"/>
      <c r="AC55" s="413"/>
      <c r="AD55" s="414"/>
      <c r="AF55" s="412"/>
      <c r="AG55" s="413"/>
      <c r="AH55" s="413"/>
      <c r="AI55" s="413"/>
      <c r="AJ55" s="413"/>
      <c r="AK55" s="413"/>
      <c r="AL55" s="413"/>
      <c r="AM55" s="413"/>
      <c r="AN55" s="413"/>
      <c r="AO55" s="413"/>
      <c r="AP55" s="413"/>
      <c r="AQ55" s="413"/>
      <c r="AR55" s="413"/>
      <c r="AS55" s="413"/>
      <c r="AT55" s="413"/>
      <c r="AU55" s="413"/>
      <c r="AV55" s="414"/>
    </row>
    <row r="56" spans="1:136" ht="15" customHeight="1" outlineLevel="1" thickBot="1" x14ac:dyDescent="0.3">
      <c r="B56" s="511" t="s">
        <v>48</v>
      </c>
      <c r="C56" s="512"/>
      <c r="D56" s="512"/>
      <c r="E56" s="512"/>
      <c r="F56" s="512"/>
      <c r="G56" s="512"/>
      <c r="H56" s="512"/>
      <c r="I56" s="512"/>
      <c r="J56" s="512"/>
      <c r="K56" s="512"/>
      <c r="L56" s="513"/>
      <c r="M56" s="433"/>
      <c r="N56" s="418" t="s">
        <v>49</v>
      </c>
      <c r="O56" s="289"/>
      <c r="P56" s="289"/>
      <c r="Q56" s="289"/>
      <c r="R56" s="289"/>
      <c r="S56" s="289"/>
      <c r="T56" s="289"/>
      <c r="U56" s="289"/>
      <c r="V56" s="289"/>
      <c r="W56" s="289"/>
      <c r="X56" s="289"/>
      <c r="Y56" s="289"/>
      <c r="Z56" s="289"/>
      <c r="AA56" s="289"/>
      <c r="AB56" s="289"/>
      <c r="AC56" s="289"/>
      <c r="AD56" s="419"/>
      <c r="AE56" s="388"/>
      <c r="AF56" s="418" t="s">
        <v>42</v>
      </c>
      <c r="AG56" s="289"/>
      <c r="AH56" s="289"/>
      <c r="AI56" s="289"/>
      <c r="AJ56" s="289"/>
      <c r="AK56" s="289"/>
      <c r="AL56" s="289"/>
      <c r="AM56" s="289"/>
      <c r="AN56" s="289"/>
      <c r="AO56" s="289"/>
      <c r="AP56" s="289"/>
      <c r="AQ56" s="289"/>
      <c r="AR56" s="289"/>
      <c r="AS56" s="289"/>
      <c r="AT56" s="289"/>
      <c r="AU56" s="289"/>
      <c r="AV56" s="419"/>
      <c r="AX56" s="342"/>
      <c r="AY56" s="342"/>
      <c r="AZ56" s="342"/>
      <c r="BA56" s="342"/>
      <c r="BB56" s="342"/>
      <c r="BC56" s="342"/>
      <c r="BD56" s="342"/>
      <c r="BE56" s="342"/>
      <c r="BF56" s="342"/>
      <c r="BG56" s="342"/>
      <c r="BH56" s="342"/>
      <c r="BI56" s="342"/>
      <c r="BJ56" s="342"/>
    </row>
    <row r="57" spans="1:136" ht="43.5" customHeight="1" outlineLevel="1" x14ac:dyDescent="0.25">
      <c r="B57" s="486" t="s">
        <v>17</v>
      </c>
      <c r="C57" s="425"/>
      <c r="D57" s="425"/>
      <c r="E57" s="425"/>
      <c r="F57" s="425"/>
      <c r="G57" s="489" t="s">
        <v>387</v>
      </c>
      <c r="H57" s="466"/>
      <c r="I57" s="489" t="s">
        <v>388</v>
      </c>
      <c r="J57" s="492"/>
      <c r="K57" s="492"/>
      <c r="L57" s="490"/>
      <c r="M57" s="420"/>
      <c r="N57" s="269" t="s">
        <v>84</v>
      </c>
      <c r="O57" s="270"/>
      <c r="P57" s="422" t="s">
        <v>389</v>
      </c>
      <c r="Q57" s="270"/>
      <c r="R57" s="425"/>
      <c r="S57" s="422" t="s">
        <v>85</v>
      </c>
      <c r="T57" s="270"/>
      <c r="U57" s="422" t="s">
        <v>86</v>
      </c>
      <c r="V57" s="270"/>
      <c r="W57" s="425"/>
      <c r="X57" s="422" t="s">
        <v>390</v>
      </c>
      <c r="Y57" s="270"/>
      <c r="Z57" s="422" t="s">
        <v>391</v>
      </c>
      <c r="AA57" s="270"/>
      <c r="AB57" s="425"/>
      <c r="AC57" s="422" t="s">
        <v>392</v>
      </c>
      <c r="AD57" s="401"/>
      <c r="AE57" s="388"/>
      <c r="AF57" s="269" t="s">
        <v>42</v>
      </c>
      <c r="AG57" s="270"/>
      <c r="AH57" s="422" t="s">
        <v>393</v>
      </c>
      <c r="AI57" s="270"/>
      <c r="AJ57" s="425"/>
      <c r="AK57" s="422" t="s">
        <v>88</v>
      </c>
      <c r="AL57" s="270"/>
      <c r="AM57" s="422" t="s">
        <v>90</v>
      </c>
      <c r="AN57" s="270"/>
      <c r="AO57" s="425"/>
      <c r="AP57" s="422" t="s">
        <v>394</v>
      </c>
      <c r="AQ57" s="270"/>
      <c r="AR57" s="422" t="s">
        <v>395</v>
      </c>
      <c r="AS57" s="270"/>
      <c r="AT57" s="425"/>
      <c r="AU57" s="422" t="s">
        <v>396</v>
      </c>
      <c r="AV57" s="401"/>
      <c r="AX57" s="342"/>
      <c r="AY57" s="342"/>
      <c r="AZ57" s="342"/>
      <c r="BA57" s="342"/>
      <c r="BB57" s="342"/>
      <c r="BC57" s="342"/>
      <c r="BD57" s="342"/>
      <c r="BE57" s="342"/>
      <c r="BF57" s="342"/>
      <c r="BG57" s="342"/>
      <c r="BH57" s="342"/>
      <c r="BI57" s="342"/>
      <c r="BJ57" s="342"/>
    </row>
    <row r="58" spans="1:136" outlineLevel="1" x14ac:dyDescent="0.25">
      <c r="B58" s="435" t="s">
        <v>18</v>
      </c>
      <c r="C58" s="425"/>
      <c r="D58" s="425"/>
      <c r="E58" s="425"/>
      <c r="F58" s="425"/>
      <c r="G58" s="469"/>
      <c r="H58" s="427" t="str">
        <f>GENERALITES!$D$14</f>
        <v>kg</v>
      </c>
      <c r="I58" s="448">
        <f>$N$10</f>
        <v>0</v>
      </c>
      <c r="J58" s="449" t="s">
        <v>2</v>
      </c>
      <c r="K58" s="302">
        <f>IF(B58=Annexes!$B$3,G58*I58/100,SUMPRODUCT(G61:G64,I61:I64/100))</f>
        <v>0</v>
      </c>
      <c r="L58" s="428" t="str">
        <f>GENERALITES!$D$14</f>
        <v>kg</v>
      </c>
      <c r="M58" s="420"/>
      <c r="N58" s="437">
        <f>GENERALITES!$D$47</f>
        <v>0</v>
      </c>
      <c r="O58" s="427" t="str">
        <f>GENERALITES!$E$47</f>
        <v>€ / kg</v>
      </c>
      <c r="P58" s="302">
        <f>IF(B58=Annexes!$B$3,G58*N58,SUM(G61:G64)*N58)</f>
        <v>0</v>
      </c>
      <c r="Q58" s="427" t="s">
        <v>6</v>
      </c>
      <c r="R58" s="425"/>
      <c r="S58" s="302">
        <f>'ETAPE 4'!Z58</f>
        <v>0</v>
      </c>
      <c r="T58" s="427" t="s">
        <v>72</v>
      </c>
      <c r="U58" s="302">
        <f>S58*$B$10</f>
        <v>0</v>
      </c>
      <c r="V58" s="427" t="s">
        <v>6</v>
      </c>
      <c r="W58" s="425"/>
      <c r="X58" s="302">
        <f>P58+U58</f>
        <v>0</v>
      </c>
      <c r="Y58" s="427" t="s">
        <v>6</v>
      </c>
      <c r="Z58" s="302">
        <f>IF($E$10&lt;&gt;0,X58/$E$10,0)</f>
        <v>0</v>
      </c>
      <c r="AA58" s="427" t="s">
        <v>72</v>
      </c>
      <c r="AB58" s="425"/>
      <c r="AC58" s="302">
        <f>$N$10/100*U58+IF(B58=Annexes!$B$3,I58/100*P58,IF(SUM(G61:G64)&gt;0,K58/SUM(G61:G64)*P58,0))</f>
        <v>0</v>
      </c>
      <c r="AD58" s="428" t="s">
        <v>6</v>
      </c>
      <c r="AE58" s="388"/>
      <c r="AF58" s="437">
        <f>GENERALITES!$M$47</f>
        <v>0</v>
      </c>
      <c r="AG58" s="427" t="str">
        <f>GENERALITES!$N$47</f>
        <v>TCO2 / kg</v>
      </c>
      <c r="AH58" s="302">
        <f>IF(B58=Annexes!$B$3,G58*AF58,SUM(G61:G64)*AF58)</f>
        <v>0</v>
      </c>
      <c r="AI58" s="427" t="s">
        <v>21</v>
      </c>
      <c r="AJ58" s="425"/>
      <c r="AK58" s="302">
        <f>'ETAPE 4'!AR58</f>
        <v>0</v>
      </c>
      <c r="AL58" s="427" t="s">
        <v>73</v>
      </c>
      <c r="AM58" s="302">
        <f>AK58*$B$10</f>
        <v>0</v>
      </c>
      <c r="AN58" s="427" t="s">
        <v>21</v>
      </c>
      <c r="AO58" s="425"/>
      <c r="AP58" s="302">
        <f>AH58+AM58</f>
        <v>0</v>
      </c>
      <c r="AQ58" s="427" t="s">
        <v>21</v>
      </c>
      <c r="AR58" s="302">
        <f>IF($E$10&lt;&gt;0,AP58/$E$10,0)</f>
        <v>0</v>
      </c>
      <c r="AS58" s="427" t="s">
        <v>73</v>
      </c>
      <c r="AT58" s="425"/>
      <c r="AU58" s="302">
        <f>$N$10/100*AM58+IF(B58=Annexes!$B$3,I58/100*AH58,IF(SUM(G61:G64)&gt;0,K58/SUM(G61:G64)*AH58,0))</f>
        <v>0</v>
      </c>
      <c r="AV58" s="428" t="s">
        <v>21</v>
      </c>
      <c r="AX58" s="342"/>
      <c r="AY58" s="342"/>
      <c r="AZ58" s="342"/>
      <c r="BA58" s="342"/>
      <c r="BB58" s="342"/>
      <c r="BC58" s="342"/>
      <c r="BD58" s="342"/>
      <c r="BE58" s="342"/>
      <c r="BF58" s="342"/>
      <c r="BG58" s="342"/>
      <c r="BH58" s="342"/>
      <c r="BI58" s="342"/>
      <c r="BJ58" s="342"/>
    </row>
    <row r="59" spans="1:136" outlineLevel="1" x14ac:dyDescent="0.25">
      <c r="B59" s="431"/>
      <c r="C59" s="425"/>
      <c r="D59" s="425"/>
      <c r="E59" s="425"/>
      <c r="F59" s="425"/>
      <c r="G59" s="420"/>
      <c r="H59" s="420"/>
      <c r="I59" s="420"/>
      <c r="J59" s="420"/>
      <c r="K59" s="420"/>
      <c r="L59" s="432"/>
      <c r="M59" s="420"/>
      <c r="N59" s="514"/>
      <c r="O59" s="420"/>
      <c r="P59" s="515"/>
      <c r="Q59" s="420"/>
      <c r="R59" s="425"/>
      <c r="S59" s="516"/>
      <c r="T59" s="420"/>
      <c r="U59" s="515"/>
      <c r="V59" s="420"/>
      <c r="W59" s="425"/>
      <c r="X59" s="515"/>
      <c r="Y59" s="420"/>
      <c r="Z59" s="515"/>
      <c r="AA59" s="420"/>
      <c r="AB59" s="425"/>
      <c r="AC59" s="517"/>
      <c r="AD59" s="432"/>
      <c r="AE59" s="388"/>
      <c r="AF59" s="514"/>
      <c r="AG59" s="420"/>
      <c r="AH59" s="515"/>
      <c r="AI59" s="420"/>
      <c r="AJ59" s="425"/>
      <c r="AK59" s="516"/>
      <c r="AL59" s="420"/>
      <c r="AM59" s="515"/>
      <c r="AN59" s="420"/>
      <c r="AO59" s="425"/>
      <c r="AP59" s="515"/>
      <c r="AQ59" s="420"/>
      <c r="AR59" s="515"/>
      <c r="AS59" s="420"/>
      <c r="AT59" s="425"/>
      <c r="AU59" s="518"/>
      <c r="AV59" s="432"/>
      <c r="AX59" s="342"/>
      <c r="AY59" s="342"/>
      <c r="AZ59" s="342"/>
      <c r="BA59" s="342"/>
      <c r="BB59" s="342"/>
      <c r="BC59" s="342"/>
      <c r="BD59" s="342"/>
      <c r="BE59" s="342"/>
      <c r="BF59" s="342"/>
      <c r="BG59" s="342"/>
      <c r="BH59" s="342"/>
      <c r="BI59" s="342"/>
      <c r="BJ59" s="342"/>
    </row>
    <row r="60" spans="1:136" outlineLevel="1" x14ac:dyDescent="0.25">
      <c r="B60" s="464" t="s">
        <v>7</v>
      </c>
      <c r="C60" s="425"/>
      <c r="D60" s="425"/>
      <c r="E60" s="425"/>
      <c r="F60" s="425"/>
      <c r="G60" s="519"/>
      <c r="H60" s="519"/>
      <c r="I60" s="434"/>
      <c r="J60" s="434"/>
      <c r="K60" s="425"/>
      <c r="L60" s="470"/>
      <c r="M60" s="420"/>
      <c r="N60" s="514"/>
      <c r="O60" s="420"/>
      <c r="P60" s="515"/>
      <c r="Q60" s="420"/>
      <c r="R60" s="425"/>
      <c r="S60" s="516"/>
      <c r="T60" s="420"/>
      <c r="U60" s="515"/>
      <c r="V60" s="420"/>
      <c r="W60" s="425"/>
      <c r="X60" s="515"/>
      <c r="Y60" s="420"/>
      <c r="Z60" s="515"/>
      <c r="AA60" s="420"/>
      <c r="AB60" s="425"/>
      <c r="AC60" s="517"/>
      <c r="AD60" s="432"/>
      <c r="AE60" s="388"/>
      <c r="AF60" s="514"/>
      <c r="AG60" s="420"/>
      <c r="AH60" s="515"/>
      <c r="AI60" s="420"/>
      <c r="AJ60" s="425"/>
      <c r="AK60" s="516"/>
      <c r="AL60" s="420"/>
      <c r="AM60" s="515"/>
      <c r="AN60" s="420"/>
      <c r="AO60" s="425"/>
      <c r="AP60" s="515"/>
      <c r="AQ60" s="420"/>
      <c r="AR60" s="515"/>
      <c r="AS60" s="420"/>
      <c r="AT60" s="425"/>
      <c r="AU60" s="518"/>
      <c r="AV60" s="432"/>
      <c r="AX60" s="342"/>
      <c r="AY60" s="342"/>
      <c r="AZ60" s="342"/>
      <c r="BA60" s="342"/>
      <c r="BB60" s="342"/>
      <c r="BC60" s="342"/>
      <c r="BD60" s="342"/>
      <c r="BE60" s="342"/>
      <c r="BF60" s="342"/>
      <c r="BG60" s="342"/>
      <c r="BH60" s="342"/>
      <c r="BI60" s="342"/>
      <c r="BJ60" s="342"/>
    </row>
    <row r="61" spans="1:136" outlineLevel="1" x14ac:dyDescent="0.25">
      <c r="B61" s="472"/>
      <c r="C61" s="425"/>
      <c r="D61" s="425"/>
      <c r="E61" s="425"/>
      <c r="F61" s="425"/>
      <c r="G61" s="473"/>
      <c r="H61" s="427" t="str">
        <f>GENERALITES!$D$14</f>
        <v>kg</v>
      </c>
      <c r="I61" s="436"/>
      <c r="J61" s="430" t="s">
        <v>2</v>
      </c>
      <c r="K61" s="425"/>
      <c r="L61" s="470"/>
      <c r="M61" s="420"/>
      <c r="N61" s="514"/>
      <c r="O61" s="420"/>
      <c r="P61" s="515"/>
      <c r="Q61" s="420"/>
      <c r="R61" s="425"/>
      <c r="S61" s="516"/>
      <c r="T61" s="420"/>
      <c r="U61" s="515"/>
      <c r="V61" s="420"/>
      <c r="W61" s="425"/>
      <c r="X61" s="515"/>
      <c r="Y61" s="420"/>
      <c r="Z61" s="515"/>
      <c r="AA61" s="420"/>
      <c r="AB61" s="425"/>
      <c r="AC61" s="517"/>
      <c r="AD61" s="432"/>
      <c r="AE61" s="388"/>
      <c r="AF61" s="514"/>
      <c r="AG61" s="420"/>
      <c r="AH61" s="515"/>
      <c r="AI61" s="420"/>
      <c r="AJ61" s="425"/>
      <c r="AK61" s="516"/>
      <c r="AL61" s="420"/>
      <c r="AM61" s="515"/>
      <c r="AN61" s="420"/>
      <c r="AO61" s="425"/>
      <c r="AP61" s="515"/>
      <c r="AQ61" s="420"/>
      <c r="AR61" s="515"/>
      <c r="AS61" s="420"/>
      <c r="AT61" s="425"/>
      <c r="AU61" s="518"/>
      <c r="AV61" s="432"/>
      <c r="AX61" s="342"/>
      <c r="AY61" s="342"/>
      <c r="AZ61" s="342"/>
      <c r="BA61" s="342"/>
      <c r="BB61" s="342"/>
      <c r="BC61" s="342"/>
      <c r="BD61" s="342"/>
      <c r="BE61" s="342"/>
      <c r="BF61" s="342"/>
      <c r="BG61" s="342"/>
      <c r="BH61" s="342"/>
      <c r="BI61" s="342"/>
      <c r="BJ61" s="342"/>
    </row>
    <row r="62" spans="1:136" outlineLevel="1" x14ac:dyDescent="0.25">
      <c r="B62" s="472"/>
      <c r="C62" s="425"/>
      <c r="D62" s="425"/>
      <c r="E62" s="425"/>
      <c r="F62" s="425"/>
      <c r="G62" s="473"/>
      <c r="H62" s="427" t="str">
        <f>GENERALITES!$D$14</f>
        <v>kg</v>
      </c>
      <c r="I62" s="436"/>
      <c r="J62" s="430" t="s">
        <v>2</v>
      </c>
      <c r="K62" s="425"/>
      <c r="L62" s="470"/>
      <c r="M62" s="420"/>
      <c r="N62" s="514"/>
      <c r="O62" s="420"/>
      <c r="P62" s="515"/>
      <c r="Q62" s="420"/>
      <c r="R62" s="425"/>
      <c r="S62" s="516"/>
      <c r="T62" s="420"/>
      <c r="U62" s="515"/>
      <c r="V62" s="420"/>
      <c r="W62" s="425"/>
      <c r="X62" s="515"/>
      <c r="Y62" s="420"/>
      <c r="Z62" s="515"/>
      <c r="AA62" s="420"/>
      <c r="AB62" s="425"/>
      <c r="AC62" s="517"/>
      <c r="AD62" s="432"/>
      <c r="AE62" s="388"/>
      <c r="AF62" s="514"/>
      <c r="AG62" s="420"/>
      <c r="AH62" s="515"/>
      <c r="AI62" s="420"/>
      <c r="AJ62" s="425"/>
      <c r="AK62" s="516"/>
      <c r="AL62" s="420"/>
      <c r="AM62" s="515"/>
      <c r="AN62" s="420"/>
      <c r="AO62" s="425"/>
      <c r="AP62" s="515"/>
      <c r="AQ62" s="420"/>
      <c r="AR62" s="515"/>
      <c r="AS62" s="420"/>
      <c r="AT62" s="425"/>
      <c r="AU62" s="518"/>
      <c r="AV62" s="432"/>
      <c r="AX62" s="342"/>
      <c r="AY62" s="342"/>
      <c r="AZ62" s="342"/>
      <c r="BA62" s="342"/>
      <c r="BB62" s="342"/>
      <c r="BC62" s="342"/>
      <c r="BD62" s="342"/>
      <c r="BE62" s="342"/>
      <c r="BF62" s="342"/>
      <c r="BG62" s="342"/>
      <c r="BH62" s="342"/>
      <c r="BI62" s="342"/>
      <c r="BJ62" s="342"/>
    </row>
    <row r="63" spans="1:136" outlineLevel="1" x14ac:dyDescent="0.25">
      <c r="B63" s="472"/>
      <c r="C63" s="425"/>
      <c r="D63" s="425"/>
      <c r="E63" s="425"/>
      <c r="F63" s="425"/>
      <c r="G63" s="473"/>
      <c r="H63" s="427" t="str">
        <f>GENERALITES!$D$14</f>
        <v>kg</v>
      </c>
      <c r="I63" s="436"/>
      <c r="J63" s="430" t="s">
        <v>2</v>
      </c>
      <c r="K63" s="425"/>
      <c r="L63" s="470"/>
      <c r="M63" s="420"/>
      <c r="N63" s="514"/>
      <c r="O63" s="420"/>
      <c r="P63" s="515"/>
      <c r="Q63" s="420"/>
      <c r="R63" s="425"/>
      <c r="S63" s="516"/>
      <c r="T63" s="420"/>
      <c r="U63" s="515"/>
      <c r="V63" s="420"/>
      <c r="W63" s="425"/>
      <c r="X63" s="515"/>
      <c r="Y63" s="420"/>
      <c r="Z63" s="515"/>
      <c r="AA63" s="420"/>
      <c r="AB63" s="425"/>
      <c r="AC63" s="517"/>
      <c r="AD63" s="432"/>
      <c r="AE63" s="388"/>
      <c r="AF63" s="514"/>
      <c r="AG63" s="420"/>
      <c r="AH63" s="515"/>
      <c r="AI63" s="420"/>
      <c r="AJ63" s="425"/>
      <c r="AK63" s="516"/>
      <c r="AL63" s="420"/>
      <c r="AM63" s="515"/>
      <c r="AN63" s="420"/>
      <c r="AO63" s="425"/>
      <c r="AP63" s="515"/>
      <c r="AQ63" s="420"/>
      <c r="AR63" s="515"/>
      <c r="AS63" s="420"/>
      <c r="AT63" s="425"/>
      <c r="AU63" s="518"/>
      <c r="AV63" s="432"/>
      <c r="AX63" s="342"/>
      <c r="AY63" s="342"/>
      <c r="AZ63" s="342"/>
      <c r="BA63" s="342"/>
      <c r="BB63" s="342"/>
      <c r="BC63" s="342"/>
      <c r="BD63" s="342"/>
      <c r="BE63" s="342"/>
      <c r="BF63" s="342"/>
      <c r="BG63" s="342"/>
      <c r="BH63" s="342"/>
      <c r="BI63" s="342"/>
      <c r="BJ63" s="342"/>
    </row>
    <row r="64" spans="1:136" outlineLevel="1" x14ac:dyDescent="0.25">
      <c r="B64" s="472"/>
      <c r="C64" s="425"/>
      <c r="D64" s="425"/>
      <c r="E64" s="425"/>
      <c r="F64" s="425"/>
      <c r="G64" s="473"/>
      <c r="H64" s="427" t="str">
        <f>GENERALITES!$D$14</f>
        <v>kg</v>
      </c>
      <c r="I64" s="436"/>
      <c r="J64" s="430" t="s">
        <v>2</v>
      </c>
      <c r="K64" s="425"/>
      <c r="L64" s="470"/>
      <c r="M64" s="420"/>
      <c r="N64" s="514"/>
      <c r="O64" s="420"/>
      <c r="P64" s="515"/>
      <c r="Q64" s="420"/>
      <c r="R64" s="425"/>
      <c r="S64" s="516"/>
      <c r="T64" s="420"/>
      <c r="U64" s="515"/>
      <c r="V64" s="420"/>
      <c r="W64" s="425"/>
      <c r="X64" s="515"/>
      <c r="Y64" s="420"/>
      <c r="Z64" s="515"/>
      <c r="AA64" s="420"/>
      <c r="AB64" s="425"/>
      <c r="AC64" s="517"/>
      <c r="AD64" s="432"/>
      <c r="AE64" s="388"/>
      <c r="AF64" s="514"/>
      <c r="AG64" s="420"/>
      <c r="AH64" s="515"/>
      <c r="AI64" s="420"/>
      <c r="AJ64" s="425"/>
      <c r="AK64" s="516"/>
      <c r="AL64" s="420"/>
      <c r="AM64" s="515"/>
      <c r="AN64" s="420"/>
      <c r="AO64" s="425"/>
      <c r="AP64" s="515"/>
      <c r="AQ64" s="420"/>
      <c r="AR64" s="515"/>
      <c r="AS64" s="420"/>
      <c r="AT64" s="425"/>
      <c r="AU64" s="518"/>
      <c r="AV64" s="432"/>
      <c r="AX64" s="342"/>
      <c r="AY64" s="342"/>
      <c r="AZ64" s="342"/>
      <c r="BA64" s="342"/>
      <c r="BB64" s="342"/>
      <c r="BC64" s="342"/>
      <c r="BD64" s="342"/>
      <c r="BE64" s="342"/>
      <c r="BF64" s="342"/>
      <c r="BG64" s="342"/>
      <c r="BH64" s="342"/>
      <c r="BI64" s="342"/>
      <c r="BJ64" s="342"/>
    </row>
    <row r="65" spans="1:136" ht="15.75" thickBot="1" x14ac:dyDescent="0.3">
      <c r="A65" s="440"/>
      <c r="B65" s="477"/>
      <c r="C65" s="478"/>
      <c r="D65" s="478"/>
      <c r="E65" s="478"/>
      <c r="F65" s="478"/>
      <c r="G65" s="478"/>
      <c r="H65" s="478"/>
      <c r="I65" s="478"/>
      <c r="J65" s="478"/>
      <c r="K65" s="478"/>
      <c r="L65" s="479"/>
      <c r="M65" s="440"/>
      <c r="N65" s="477"/>
      <c r="O65" s="478"/>
      <c r="P65" s="478"/>
      <c r="Q65" s="478"/>
      <c r="R65" s="478"/>
      <c r="S65" s="478"/>
      <c r="T65" s="478"/>
      <c r="U65" s="478"/>
      <c r="V65" s="478"/>
      <c r="W65" s="478"/>
      <c r="X65" s="478"/>
      <c r="Y65" s="478"/>
      <c r="Z65" s="478"/>
      <c r="AA65" s="478"/>
      <c r="AB65" s="478"/>
      <c r="AC65" s="478"/>
      <c r="AD65" s="479"/>
      <c r="AE65" s="440"/>
      <c r="AF65" s="444"/>
      <c r="AG65" s="445"/>
      <c r="AH65" s="445"/>
      <c r="AI65" s="445"/>
      <c r="AJ65" s="445"/>
      <c r="AK65" s="445"/>
      <c r="AL65" s="445"/>
      <c r="AM65" s="445"/>
      <c r="AN65" s="445"/>
      <c r="AO65" s="445"/>
      <c r="AP65" s="445"/>
      <c r="AQ65" s="445"/>
      <c r="AR65" s="445"/>
      <c r="AS65" s="445"/>
      <c r="AT65" s="445"/>
      <c r="AU65" s="445"/>
      <c r="AV65" s="446"/>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388"/>
      <c r="DK65" s="388"/>
      <c r="DL65" s="388"/>
      <c r="DM65" s="388"/>
      <c r="DN65" s="388"/>
      <c r="DO65" s="388"/>
      <c r="DP65" s="388"/>
      <c r="DQ65" s="388"/>
      <c r="DR65" s="388"/>
      <c r="DS65" s="388"/>
      <c r="DT65" s="388"/>
      <c r="DU65" s="388"/>
      <c r="DV65" s="388"/>
      <c r="DW65" s="388"/>
      <c r="DX65" s="388"/>
      <c r="DY65" s="388"/>
      <c r="DZ65" s="388"/>
      <c r="EA65" s="388"/>
      <c r="EB65" s="388"/>
      <c r="EC65" s="388"/>
      <c r="ED65" s="388"/>
      <c r="EE65" s="388"/>
      <c r="EF65" s="388"/>
    </row>
    <row r="66" spans="1:136" ht="21.75" customHeight="1" thickBot="1" x14ac:dyDescent="0.3">
      <c r="A66" s="440"/>
      <c r="B66" s="508" t="str">
        <f>GENERALITES!$B$48</f>
        <v>Autre énergie</v>
      </c>
      <c r="C66" s="509"/>
      <c r="D66" s="509"/>
      <c r="E66" s="509"/>
      <c r="F66" s="509"/>
      <c r="G66" s="509"/>
      <c r="H66" s="510"/>
      <c r="I66" s="342"/>
      <c r="J66" s="342"/>
      <c r="K66" s="342"/>
      <c r="L66" s="342"/>
      <c r="M66" s="342"/>
      <c r="N66" s="342"/>
      <c r="O66" s="342"/>
      <c r="P66" s="342"/>
      <c r="Q66" s="342"/>
      <c r="R66" s="342"/>
      <c r="S66" s="342"/>
      <c r="T66" s="342"/>
      <c r="U66" s="342"/>
      <c r="V66" s="342"/>
      <c r="W66" s="342"/>
      <c r="X66" s="342"/>
      <c r="Y66" s="342"/>
      <c r="Z66" s="342"/>
      <c r="AA66" s="342"/>
      <c r="AB66" s="342"/>
      <c r="AC66" s="342"/>
      <c r="AD66" s="342"/>
      <c r="AE66" s="440"/>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t="s">
        <v>40</v>
      </c>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388"/>
      <c r="DK66" s="388"/>
      <c r="DL66" s="388"/>
      <c r="DM66" s="388"/>
      <c r="DN66" s="388"/>
      <c r="DO66" s="388"/>
      <c r="DP66" s="388"/>
      <c r="DQ66" s="388"/>
      <c r="DR66" s="388"/>
      <c r="DS66" s="388"/>
      <c r="DT66" s="388"/>
      <c r="DU66" s="388"/>
      <c r="DV66" s="388"/>
      <c r="DW66" s="388"/>
      <c r="DX66" s="388"/>
      <c r="DY66" s="388"/>
      <c r="DZ66" s="388"/>
      <c r="EA66" s="388"/>
      <c r="EB66" s="388"/>
      <c r="EC66" s="388"/>
      <c r="ED66" s="388"/>
      <c r="EE66" s="388"/>
      <c r="EF66" s="388"/>
    </row>
    <row r="67" spans="1:136" outlineLevel="1" x14ac:dyDescent="0.25">
      <c r="A67" s="440"/>
      <c r="B67" s="412"/>
      <c r="C67" s="413"/>
      <c r="D67" s="413"/>
      <c r="E67" s="413"/>
      <c r="F67" s="413"/>
      <c r="G67" s="413"/>
      <c r="H67" s="413"/>
      <c r="I67" s="413"/>
      <c r="J67" s="413"/>
      <c r="K67" s="413"/>
      <c r="L67" s="414"/>
      <c r="N67" s="412"/>
      <c r="O67" s="413"/>
      <c r="P67" s="413"/>
      <c r="Q67" s="413"/>
      <c r="R67" s="413"/>
      <c r="S67" s="413"/>
      <c r="T67" s="413"/>
      <c r="U67" s="413"/>
      <c r="V67" s="413"/>
      <c r="W67" s="413"/>
      <c r="X67" s="413"/>
      <c r="Y67" s="413"/>
      <c r="Z67" s="413"/>
      <c r="AA67" s="413"/>
      <c r="AB67" s="413"/>
      <c r="AC67" s="413"/>
      <c r="AD67" s="414"/>
      <c r="AF67" s="412"/>
      <c r="AG67" s="413"/>
      <c r="AH67" s="413"/>
      <c r="AI67" s="413"/>
      <c r="AJ67" s="413"/>
      <c r="AK67" s="413"/>
      <c r="AL67" s="413"/>
      <c r="AM67" s="413"/>
      <c r="AN67" s="413"/>
      <c r="AO67" s="413"/>
      <c r="AP67" s="413"/>
      <c r="AQ67" s="413"/>
      <c r="AR67" s="413"/>
      <c r="AS67" s="413"/>
      <c r="AT67" s="413"/>
      <c r="AU67" s="413"/>
      <c r="AV67" s="414"/>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388"/>
      <c r="DK67" s="388"/>
      <c r="DL67" s="388"/>
      <c r="DM67" s="388"/>
      <c r="DN67" s="388"/>
      <c r="DO67" s="388"/>
      <c r="DP67" s="388"/>
      <c r="DQ67" s="388"/>
      <c r="DR67" s="388"/>
      <c r="DS67" s="388"/>
      <c r="DT67" s="388"/>
      <c r="DU67" s="388"/>
      <c r="DV67" s="388"/>
      <c r="DW67" s="388"/>
      <c r="DX67" s="388"/>
      <c r="DY67" s="388"/>
      <c r="DZ67" s="388"/>
      <c r="EA67" s="388"/>
      <c r="EB67" s="388"/>
      <c r="EC67" s="388"/>
      <c r="ED67" s="388"/>
      <c r="EE67" s="388"/>
      <c r="EF67" s="388"/>
    </row>
    <row r="68" spans="1:136" ht="15" customHeight="1" outlineLevel="1" x14ac:dyDescent="0.25">
      <c r="A68" s="440"/>
      <c r="B68" s="415" t="s">
        <v>66</v>
      </c>
      <c r="C68" s="416"/>
      <c r="D68" s="416"/>
      <c r="E68" s="416"/>
      <c r="F68" s="416"/>
      <c r="G68" s="416"/>
      <c r="H68" s="416"/>
      <c r="I68" s="416"/>
      <c r="J68" s="416"/>
      <c r="K68" s="416"/>
      <c r="L68" s="417"/>
      <c r="M68" s="433"/>
      <c r="N68" s="418" t="s">
        <v>67</v>
      </c>
      <c r="O68" s="289"/>
      <c r="P68" s="289"/>
      <c r="Q68" s="289"/>
      <c r="R68" s="289"/>
      <c r="S68" s="289"/>
      <c r="T68" s="289"/>
      <c r="U68" s="289"/>
      <c r="V68" s="289"/>
      <c r="W68" s="289"/>
      <c r="X68" s="289"/>
      <c r="Y68" s="289"/>
      <c r="Z68" s="289"/>
      <c r="AA68" s="289"/>
      <c r="AB68" s="289"/>
      <c r="AC68" s="289"/>
      <c r="AD68" s="419"/>
      <c r="AE68" s="388"/>
      <c r="AF68" s="418" t="s">
        <v>68</v>
      </c>
      <c r="AG68" s="289"/>
      <c r="AH68" s="289"/>
      <c r="AI68" s="289"/>
      <c r="AJ68" s="289"/>
      <c r="AK68" s="289"/>
      <c r="AL68" s="289"/>
      <c r="AM68" s="289"/>
      <c r="AN68" s="289"/>
      <c r="AO68" s="289"/>
      <c r="AP68" s="289"/>
      <c r="AQ68" s="289"/>
      <c r="AR68" s="289"/>
      <c r="AS68" s="289"/>
      <c r="AT68" s="289"/>
      <c r="AU68" s="289"/>
      <c r="AV68" s="419"/>
      <c r="AW68" s="388"/>
      <c r="AX68" s="342"/>
      <c r="AY68" s="342"/>
      <c r="AZ68" s="342"/>
      <c r="BA68" s="342"/>
      <c r="BB68" s="342"/>
      <c r="BC68" s="342"/>
      <c r="BD68" s="342"/>
      <c r="BE68" s="342"/>
      <c r="BF68" s="342"/>
      <c r="BG68" s="342"/>
      <c r="BH68" s="342"/>
      <c r="BI68" s="342"/>
      <c r="BJ68" s="342"/>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c r="DJ68" s="388"/>
      <c r="DK68" s="388"/>
      <c r="DL68" s="388"/>
      <c r="DM68" s="388"/>
      <c r="DN68" s="388"/>
      <c r="DO68" s="388"/>
      <c r="DP68" s="388"/>
      <c r="DQ68" s="388"/>
      <c r="DR68" s="388"/>
      <c r="DS68" s="388"/>
      <c r="DT68" s="388"/>
      <c r="DU68" s="388"/>
      <c r="DV68" s="388"/>
      <c r="DW68" s="388"/>
      <c r="DX68" s="388"/>
      <c r="DY68" s="388"/>
      <c r="DZ68" s="388"/>
      <c r="EA68" s="388"/>
      <c r="EB68" s="388"/>
      <c r="EC68" s="388"/>
      <c r="ED68" s="388"/>
      <c r="EE68" s="388"/>
      <c r="EF68" s="388"/>
    </row>
    <row r="69" spans="1:136" ht="43.5" customHeight="1" outlineLevel="1" x14ac:dyDescent="0.25">
      <c r="A69" s="440"/>
      <c r="B69" s="464" t="s">
        <v>17</v>
      </c>
      <c r="C69" s="425"/>
      <c r="D69" s="425"/>
      <c r="E69" s="425"/>
      <c r="F69" s="425"/>
      <c r="G69" s="422" t="s">
        <v>397</v>
      </c>
      <c r="H69" s="270"/>
      <c r="I69" s="422" t="s">
        <v>398</v>
      </c>
      <c r="J69" s="447"/>
      <c r="K69" s="447"/>
      <c r="L69" s="401"/>
      <c r="M69" s="420"/>
      <c r="N69" s="269" t="s">
        <v>69</v>
      </c>
      <c r="O69" s="270"/>
      <c r="P69" s="422" t="s">
        <v>399</v>
      </c>
      <c r="Q69" s="270"/>
      <c r="R69" s="425"/>
      <c r="S69" s="422" t="s">
        <v>97</v>
      </c>
      <c r="T69" s="270"/>
      <c r="U69" s="422" t="s">
        <v>98</v>
      </c>
      <c r="V69" s="270"/>
      <c r="W69" s="425"/>
      <c r="X69" s="422" t="s">
        <v>400</v>
      </c>
      <c r="Y69" s="270"/>
      <c r="Z69" s="422" t="s">
        <v>401</v>
      </c>
      <c r="AA69" s="270"/>
      <c r="AB69" s="425"/>
      <c r="AC69" s="422" t="s">
        <v>402</v>
      </c>
      <c r="AD69" s="401"/>
      <c r="AE69" s="388"/>
      <c r="AF69" s="269" t="s">
        <v>68</v>
      </c>
      <c r="AG69" s="270"/>
      <c r="AH69" s="422" t="s">
        <v>403</v>
      </c>
      <c r="AI69" s="270"/>
      <c r="AJ69" s="425"/>
      <c r="AK69" s="422" t="s">
        <v>99</v>
      </c>
      <c r="AL69" s="270"/>
      <c r="AM69" s="422" t="s">
        <v>100</v>
      </c>
      <c r="AN69" s="270"/>
      <c r="AO69" s="425"/>
      <c r="AP69" s="422" t="s">
        <v>404</v>
      </c>
      <c r="AQ69" s="270"/>
      <c r="AR69" s="422" t="s">
        <v>405</v>
      </c>
      <c r="AS69" s="270"/>
      <c r="AT69" s="425"/>
      <c r="AU69" s="422" t="s">
        <v>406</v>
      </c>
      <c r="AV69" s="401"/>
      <c r="AW69" s="388"/>
      <c r="AX69" s="342"/>
      <c r="AY69" s="342"/>
      <c r="AZ69" s="342"/>
      <c r="BA69" s="342"/>
      <c r="BB69" s="342"/>
      <c r="BC69" s="342"/>
      <c r="BD69" s="342"/>
      <c r="BE69" s="342"/>
      <c r="BF69" s="342"/>
      <c r="BG69" s="342"/>
      <c r="BH69" s="342"/>
      <c r="BI69" s="342"/>
      <c r="BJ69" s="342"/>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c r="DJ69" s="388"/>
      <c r="DK69" s="388"/>
      <c r="DL69" s="388"/>
      <c r="DM69" s="388"/>
      <c r="DN69" s="388"/>
      <c r="DO69" s="388"/>
      <c r="DP69" s="388"/>
      <c r="DQ69" s="388"/>
      <c r="DR69" s="388"/>
      <c r="DS69" s="388"/>
      <c r="DT69" s="388"/>
      <c r="DU69" s="388"/>
      <c r="DV69" s="388"/>
      <c r="DW69" s="388"/>
      <c r="DX69" s="388"/>
      <c r="DY69" s="388"/>
      <c r="DZ69" s="388"/>
      <c r="EA69" s="388"/>
      <c r="EB69" s="388"/>
      <c r="EC69" s="388"/>
      <c r="ED69" s="388"/>
      <c r="EE69" s="388"/>
      <c r="EF69" s="388"/>
    </row>
    <row r="70" spans="1:136" outlineLevel="1" x14ac:dyDescent="0.25">
      <c r="A70" s="440"/>
      <c r="B70" s="435" t="s">
        <v>18</v>
      </c>
      <c r="C70" s="425"/>
      <c r="D70" s="425"/>
      <c r="E70" s="425"/>
      <c r="F70" s="425"/>
      <c r="G70" s="469"/>
      <c r="H70" s="427">
        <f>GENERALITES!$D$15</f>
        <v>0</v>
      </c>
      <c r="I70" s="448">
        <f>$N$10</f>
        <v>0</v>
      </c>
      <c r="J70" s="449" t="s">
        <v>2</v>
      </c>
      <c r="K70" s="302">
        <f>IF(B70=Annexes!$B$3,G70*I70/100,SUMPRODUCT(G73:G76,I73:I76/100))</f>
        <v>0</v>
      </c>
      <c r="L70" s="428">
        <f>GENERALITES!$D$15</f>
        <v>0</v>
      </c>
      <c r="M70" s="420"/>
      <c r="N70" s="437">
        <f>GENERALITES!$D$48</f>
        <v>0</v>
      </c>
      <c r="O70" s="427" t="str">
        <f>GENERALITES!$E$48</f>
        <v xml:space="preserve">€ / </v>
      </c>
      <c r="P70" s="302">
        <f>IF(B70=Annexes!$B$3,G70*N70,SUM(G73:G76)*N70)</f>
        <v>0</v>
      </c>
      <c r="Q70" s="427" t="s">
        <v>6</v>
      </c>
      <c r="R70" s="425"/>
      <c r="S70" s="302">
        <f>'ETAPE 4'!Z70</f>
        <v>0</v>
      </c>
      <c r="T70" s="520" t="s">
        <v>72</v>
      </c>
      <c r="U70" s="448">
        <f>S70*$B$10</f>
        <v>0</v>
      </c>
      <c r="V70" s="427" t="s">
        <v>6</v>
      </c>
      <c r="W70" s="425"/>
      <c r="X70" s="302">
        <f>P70+U70</f>
        <v>0</v>
      </c>
      <c r="Y70" s="427" t="s">
        <v>6</v>
      </c>
      <c r="Z70" s="302">
        <f>IF($E$10&lt;&gt;0,X70/$E$10,0)</f>
        <v>0</v>
      </c>
      <c r="AA70" s="427" t="s">
        <v>72</v>
      </c>
      <c r="AB70" s="425"/>
      <c r="AC70" s="302">
        <f>$N$10/100*U70+IF(B70=Annexes!$B$3,I70/100*P70,IF(SUM(G73:G76)&gt;0,K70/SUM(G73:G76)*P70,0))</f>
        <v>0</v>
      </c>
      <c r="AD70" s="428" t="s">
        <v>6</v>
      </c>
      <c r="AE70" s="388"/>
      <c r="AF70" s="437">
        <f>GENERALITES!$M$48</f>
        <v>0</v>
      </c>
      <c r="AG70" s="427" t="str">
        <f>GENERALITES!$N$48</f>
        <v xml:space="preserve">TCO2 / </v>
      </c>
      <c r="AH70" s="302">
        <f>IF(B70=Annexes!$B$3,G70*AF70,SUM(G73:G76)*AF70)</f>
        <v>0</v>
      </c>
      <c r="AI70" s="427" t="s">
        <v>21</v>
      </c>
      <c r="AJ70" s="425"/>
      <c r="AK70" s="302">
        <f>'ETAPE 4'!AR70</f>
        <v>0</v>
      </c>
      <c r="AL70" s="427" t="s">
        <v>73</v>
      </c>
      <c r="AM70" s="448">
        <f>AK70*$B$10</f>
        <v>0</v>
      </c>
      <c r="AN70" s="427" t="s">
        <v>21</v>
      </c>
      <c r="AO70" s="425"/>
      <c r="AP70" s="302">
        <f>AH70+AM70</f>
        <v>0</v>
      </c>
      <c r="AQ70" s="427" t="s">
        <v>21</v>
      </c>
      <c r="AR70" s="302">
        <f>IF($E$10&lt;&gt;0,AP70/$E$10,0)</f>
        <v>0</v>
      </c>
      <c r="AS70" s="427" t="s">
        <v>73</v>
      </c>
      <c r="AT70" s="425"/>
      <c r="AU70" s="302">
        <f>$N$10/100*AM70+IF(B70=Annexes!$B$3,I70/100*AH70,IF(SUM(G73:G76)&gt;0,K70/SUM(G73:G76)*AH70,0))</f>
        <v>0</v>
      </c>
      <c r="AV70" s="428" t="s">
        <v>21</v>
      </c>
      <c r="AW70" s="388"/>
      <c r="AX70" s="342"/>
      <c r="AY70" s="342"/>
      <c r="AZ70" s="342"/>
      <c r="BA70" s="342"/>
      <c r="BB70" s="342"/>
      <c r="BC70" s="342"/>
      <c r="BD70" s="342"/>
      <c r="BE70" s="342"/>
      <c r="BF70" s="342"/>
      <c r="BG70" s="342"/>
      <c r="BH70" s="342"/>
      <c r="BI70" s="342"/>
      <c r="BJ70" s="342"/>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c r="DJ70" s="388"/>
      <c r="DK70" s="388"/>
      <c r="DL70" s="388"/>
      <c r="DM70" s="388"/>
      <c r="DN70" s="388"/>
      <c r="DO70" s="388"/>
      <c r="DP70" s="388"/>
      <c r="DQ70" s="388"/>
      <c r="DR70" s="388"/>
      <c r="DS70" s="388"/>
      <c r="DT70" s="388"/>
      <c r="DU70" s="388"/>
      <c r="DV70" s="388"/>
      <c r="DW70" s="388"/>
      <c r="DX70" s="388"/>
      <c r="DY70" s="388"/>
      <c r="DZ70" s="388"/>
      <c r="EA70" s="388"/>
      <c r="EB70" s="388"/>
      <c r="EC70" s="388"/>
      <c r="ED70" s="388"/>
      <c r="EE70" s="388"/>
      <c r="EF70" s="388"/>
    </row>
    <row r="71" spans="1:136" outlineLevel="1" x14ac:dyDescent="0.25">
      <c r="A71" s="440"/>
      <c r="B71" s="431"/>
      <c r="C71" s="425"/>
      <c r="D71" s="425"/>
      <c r="E71" s="425"/>
      <c r="F71" s="425"/>
      <c r="G71" s="420"/>
      <c r="H71" s="420"/>
      <c r="I71" s="420"/>
      <c r="J71" s="420"/>
      <c r="K71" s="420"/>
      <c r="L71" s="432"/>
      <c r="M71" s="420"/>
      <c r="N71" s="514"/>
      <c r="O71" s="420"/>
      <c r="P71" s="515"/>
      <c r="Q71" s="420"/>
      <c r="R71" s="425"/>
      <c r="S71" s="516"/>
      <c r="T71" s="420"/>
      <c r="U71" s="515"/>
      <c r="V71" s="420"/>
      <c r="W71" s="425"/>
      <c r="X71" s="515"/>
      <c r="Y71" s="420"/>
      <c r="Z71" s="515"/>
      <c r="AA71" s="420"/>
      <c r="AB71" s="425"/>
      <c r="AC71" s="517"/>
      <c r="AD71" s="432"/>
      <c r="AE71" s="388"/>
      <c r="AF71" s="514"/>
      <c r="AG71" s="420"/>
      <c r="AH71" s="515"/>
      <c r="AI71" s="420"/>
      <c r="AJ71" s="425"/>
      <c r="AK71" s="516"/>
      <c r="AL71" s="420"/>
      <c r="AM71" s="515"/>
      <c r="AN71" s="420"/>
      <c r="AO71" s="425"/>
      <c r="AP71" s="515"/>
      <c r="AQ71" s="420"/>
      <c r="AR71" s="515"/>
      <c r="AS71" s="420"/>
      <c r="AT71" s="425"/>
      <c r="AU71" s="518"/>
      <c r="AV71" s="432"/>
      <c r="AW71" s="388"/>
      <c r="AX71" s="342"/>
      <c r="AY71" s="342"/>
      <c r="AZ71" s="342"/>
      <c r="BA71" s="342"/>
      <c r="BB71" s="342"/>
      <c r="BC71" s="342"/>
      <c r="BD71" s="342"/>
      <c r="BE71" s="342"/>
      <c r="BF71" s="342"/>
      <c r="BG71" s="342"/>
      <c r="BH71" s="342"/>
      <c r="BI71" s="342"/>
      <c r="BJ71" s="342"/>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88"/>
      <c r="DM71" s="388"/>
      <c r="DN71" s="388"/>
      <c r="DO71" s="388"/>
      <c r="DP71" s="388"/>
      <c r="DQ71" s="388"/>
      <c r="DR71" s="388"/>
      <c r="DS71" s="388"/>
      <c r="DT71" s="388"/>
      <c r="DU71" s="388"/>
      <c r="DV71" s="388"/>
      <c r="DW71" s="388"/>
      <c r="DX71" s="388"/>
      <c r="DY71" s="388"/>
      <c r="DZ71" s="388"/>
      <c r="EA71" s="388"/>
      <c r="EB71" s="388"/>
      <c r="EC71" s="388"/>
      <c r="ED71" s="388"/>
      <c r="EE71" s="388"/>
      <c r="EF71" s="388"/>
    </row>
    <row r="72" spans="1:136" outlineLevel="1" x14ac:dyDescent="0.25">
      <c r="A72" s="440"/>
      <c r="B72" s="464" t="s">
        <v>7</v>
      </c>
      <c r="C72" s="425"/>
      <c r="D72" s="425"/>
      <c r="E72" s="425"/>
      <c r="F72" s="425"/>
      <c r="G72" s="519"/>
      <c r="H72" s="519"/>
      <c r="I72" s="434"/>
      <c r="J72" s="434"/>
      <c r="K72" s="425"/>
      <c r="L72" s="470"/>
      <c r="M72" s="420"/>
      <c r="N72" s="514"/>
      <c r="O72" s="420"/>
      <c r="P72" s="515"/>
      <c r="Q72" s="420"/>
      <c r="R72" s="425"/>
      <c r="S72" s="516"/>
      <c r="T72" s="420"/>
      <c r="U72" s="515"/>
      <c r="V72" s="420"/>
      <c r="W72" s="425"/>
      <c r="X72" s="515"/>
      <c r="Y72" s="420"/>
      <c r="Z72" s="515"/>
      <c r="AA72" s="420"/>
      <c r="AB72" s="425"/>
      <c r="AC72" s="517"/>
      <c r="AD72" s="432"/>
      <c r="AE72" s="388"/>
      <c r="AF72" s="514"/>
      <c r="AG72" s="420"/>
      <c r="AH72" s="515"/>
      <c r="AI72" s="420"/>
      <c r="AJ72" s="425"/>
      <c r="AK72" s="516"/>
      <c r="AL72" s="420"/>
      <c r="AM72" s="515"/>
      <c r="AN72" s="420"/>
      <c r="AO72" s="425"/>
      <c r="AP72" s="515"/>
      <c r="AQ72" s="420"/>
      <c r="AR72" s="515"/>
      <c r="AS72" s="420"/>
      <c r="AT72" s="425"/>
      <c r="AU72" s="518"/>
      <c r="AV72" s="432"/>
      <c r="AW72" s="388"/>
      <c r="AX72" s="342"/>
      <c r="AY72" s="342"/>
      <c r="AZ72" s="342"/>
      <c r="BA72" s="342"/>
      <c r="BB72" s="342"/>
      <c r="BC72" s="342"/>
      <c r="BD72" s="342"/>
      <c r="BE72" s="342"/>
      <c r="BF72" s="342"/>
      <c r="BG72" s="342"/>
      <c r="BH72" s="342"/>
      <c r="BI72" s="342"/>
      <c r="BJ72" s="342"/>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388"/>
      <c r="CZ72" s="388"/>
      <c r="DA72" s="388"/>
      <c r="DB72" s="388"/>
      <c r="DC72" s="388"/>
      <c r="DD72" s="388"/>
      <c r="DE72" s="388"/>
      <c r="DF72" s="388"/>
      <c r="DG72" s="388"/>
      <c r="DH72" s="388"/>
      <c r="DI72" s="388"/>
      <c r="DJ72" s="388"/>
      <c r="DK72" s="388"/>
      <c r="DL72" s="388"/>
      <c r="DM72" s="388"/>
      <c r="DN72" s="388"/>
      <c r="DO72" s="388"/>
      <c r="DP72" s="388"/>
      <c r="DQ72" s="388"/>
      <c r="DR72" s="388"/>
      <c r="DS72" s="388"/>
      <c r="DT72" s="388"/>
      <c r="DU72" s="388"/>
      <c r="DV72" s="388"/>
      <c r="DW72" s="388"/>
      <c r="DX72" s="388"/>
      <c r="DY72" s="388"/>
      <c r="DZ72" s="388"/>
      <c r="EA72" s="388"/>
      <c r="EB72" s="388"/>
      <c r="EC72" s="388"/>
      <c r="ED72" s="388"/>
      <c r="EE72" s="388"/>
      <c r="EF72" s="388"/>
    </row>
    <row r="73" spans="1:136" outlineLevel="1" x14ac:dyDescent="0.25">
      <c r="A73" s="440"/>
      <c r="B73" s="472"/>
      <c r="C73" s="425"/>
      <c r="D73" s="425"/>
      <c r="E73" s="425"/>
      <c r="F73" s="425"/>
      <c r="G73" s="473"/>
      <c r="H73" s="427">
        <f>GENERALITES!$D$15</f>
        <v>0</v>
      </c>
      <c r="I73" s="436"/>
      <c r="J73" s="430" t="s">
        <v>2</v>
      </c>
      <c r="K73" s="425"/>
      <c r="L73" s="470"/>
      <c r="M73" s="420"/>
      <c r="N73" s="514"/>
      <c r="O73" s="420"/>
      <c r="P73" s="515"/>
      <c r="Q73" s="420"/>
      <c r="R73" s="425"/>
      <c r="S73" s="516"/>
      <c r="T73" s="420"/>
      <c r="U73" s="515"/>
      <c r="V73" s="420"/>
      <c r="W73" s="425"/>
      <c r="X73" s="515"/>
      <c r="Y73" s="420"/>
      <c r="Z73" s="515"/>
      <c r="AA73" s="420"/>
      <c r="AB73" s="425"/>
      <c r="AC73" s="517"/>
      <c r="AD73" s="432"/>
      <c r="AE73" s="388"/>
      <c r="AF73" s="514"/>
      <c r="AG73" s="420"/>
      <c r="AH73" s="515"/>
      <c r="AI73" s="420"/>
      <c r="AJ73" s="425"/>
      <c r="AK73" s="516"/>
      <c r="AL73" s="420"/>
      <c r="AM73" s="515"/>
      <c r="AN73" s="420"/>
      <c r="AO73" s="425"/>
      <c r="AP73" s="515"/>
      <c r="AQ73" s="420"/>
      <c r="AR73" s="515"/>
      <c r="AS73" s="420"/>
      <c r="AT73" s="425"/>
      <c r="AU73" s="518"/>
      <c r="AV73" s="432"/>
      <c r="AW73" s="388"/>
      <c r="AX73" s="342"/>
      <c r="AY73" s="342"/>
      <c r="AZ73" s="342"/>
      <c r="BA73" s="342"/>
      <c r="BB73" s="342"/>
      <c r="BC73" s="342"/>
      <c r="BD73" s="342"/>
      <c r="BE73" s="342"/>
      <c r="BF73" s="342"/>
      <c r="BG73" s="342"/>
      <c r="BH73" s="342"/>
      <c r="BI73" s="342"/>
      <c r="BJ73" s="342"/>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8"/>
      <c r="DC73" s="388"/>
      <c r="DD73" s="388"/>
      <c r="DE73" s="388"/>
      <c r="DF73" s="388"/>
      <c r="DG73" s="388"/>
      <c r="DH73" s="388"/>
      <c r="DI73" s="388"/>
      <c r="DJ73" s="388"/>
      <c r="DK73" s="388"/>
      <c r="DL73" s="388"/>
      <c r="DM73" s="388"/>
      <c r="DN73" s="388"/>
      <c r="DO73" s="388"/>
      <c r="DP73" s="388"/>
      <c r="DQ73" s="388"/>
      <c r="DR73" s="388"/>
      <c r="DS73" s="388"/>
      <c r="DT73" s="388"/>
      <c r="DU73" s="388"/>
      <c r="DV73" s="388"/>
      <c r="DW73" s="388"/>
      <c r="DX73" s="388"/>
      <c r="DY73" s="388"/>
      <c r="DZ73" s="388"/>
      <c r="EA73" s="388"/>
      <c r="EB73" s="388"/>
      <c r="EC73" s="388"/>
      <c r="ED73" s="388"/>
      <c r="EE73" s="388"/>
      <c r="EF73" s="388"/>
    </row>
    <row r="74" spans="1:136" outlineLevel="1" x14ac:dyDescent="0.25">
      <c r="A74" s="440"/>
      <c r="B74" s="472"/>
      <c r="C74" s="425"/>
      <c r="D74" s="425"/>
      <c r="E74" s="425"/>
      <c r="F74" s="425"/>
      <c r="G74" s="473"/>
      <c r="H74" s="427">
        <f>GENERALITES!$D$15</f>
        <v>0</v>
      </c>
      <c r="I74" s="436"/>
      <c r="J74" s="430" t="s">
        <v>2</v>
      </c>
      <c r="K74" s="425"/>
      <c r="L74" s="470"/>
      <c r="M74" s="420"/>
      <c r="N74" s="514"/>
      <c r="O74" s="420"/>
      <c r="P74" s="515"/>
      <c r="Q74" s="420"/>
      <c r="R74" s="425"/>
      <c r="S74" s="516"/>
      <c r="T74" s="420"/>
      <c r="U74" s="515"/>
      <c r="V74" s="420"/>
      <c r="W74" s="425"/>
      <c r="X74" s="515"/>
      <c r="Y74" s="420"/>
      <c r="Z74" s="515"/>
      <c r="AA74" s="420"/>
      <c r="AB74" s="425"/>
      <c r="AC74" s="517"/>
      <c r="AD74" s="432"/>
      <c r="AE74" s="388"/>
      <c r="AF74" s="514"/>
      <c r="AG74" s="420"/>
      <c r="AH74" s="515"/>
      <c r="AI74" s="420"/>
      <c r="AJ74" s="425"/>
      <c r="AK74" s="516"/>
      <c r="AL74" s="420"/>
      <c r="AM74" s="515"/>
      <c r="AN74" s="420"/>
      <c r="AO74" s="425"/>
      <c r="AP74" s="515"/>
      <c r="AQ74" s="420"/>
      <c r="AR74" s="515"/>
      <c r="AS74" s="420"/>
      <c r="AT74" s="425"/>
      <c r="AU74" s="518"/>
      <c r="AV74" s="432"/>
      <c r="AW74" s="388"/>
      <c r="AX74" s="342"/>
      <c r="AY74" s="342"/>
      <c r="AZ74" s="342"/>
      <c r="BA74" s="342"/>
      <c r="BB74" s="342"/>
      <c r="BC74" s="342"/>
      <c r="BD74" s="342"/>
      <c r="BE74" s="342"/>
      <c r="BF74" s="342"/>
      <c r="BG74" s="342"/>
      <c r="BH74" s="342"/>
      <c r="BI74" s="342"/>
      <c r="BJ74" s="342"/>
      <c r="BK74" s="388"/>
      <c r="BL74" s="388"/>
      <c r="BM74" s="388"/>
      <c r="BN74" s="388"/>
      <c r="BO74" s="388"/>
      <c r="BP74" s="388"/>
      <c r="BQ74" s="388"/>
      <c r="BR74" s="388"/>
      <c r="BS74" s="388"/>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8"/>
      <c r="CZ74" s="388"/>
      <c r="DA74" s="388"/>
      <c r="DB74" s="388"/>
      <c r="DC74" s="388"/>
      <c r="DD74" s="388"/>
      <c r="DE74" s="388"/>
      <c r="DF74" s="388"/>
      <c r="DG74" s="388"/>
      <c r="DH74" s="388"/>
      <c r="DI74" s="388"/>
      <c r="DJ74" s="388"/>
      <c r="DK74" s="388"/>
      <c r="DL74" s="388"/>
      <c r="DM74" s="388"/>
      <c r="DN74" s="388"/>
      <c r="DO74" s="388"/>
      <c r="DP74" s="388"/>
      <c r="DQ74" s="388"/>
      <c r="DR74" s="388"/>
      <c r="DS74" s="388"/>
      <c r="DT74" s="388"/>
      <c r="DU74" s="388"/>
      <c r="DV74" s="388"/>
      <c r="DW74" s="388"/>
      <c r="DX74" s="388"/>
      <c r="DY74" s="388"/>
      <c r="DZ74" s="388"/>
      <c r="EA74" s="388"/>
      <c r="EB74" s="388"/>
      <c r="EC74" s="388"/>
      <c r="ED74" s="388"/>
      <c r="EE74" s="388"/>
      <c r="EF74" s="388"/>
    </row>
    <row r="75" spans="1:136" outlineLevel="1" x14ac:dyDescent="0.25">
      <c r="A75" s="440"/>
      <c r="B75" s="472"/>
      <c r="C75" s="425"/>
      <c r="D75" s="425"/>
      <c r="E75" s="425"/>
      <c r="F75" s="425"/>
      <c r="G75" s="473"/>
      <c r="H75" s="427">
        <f>GENERALITES!$D$15</f>
        <v>0</v>
      </c>
      <c r="I75" s="436"/>
      <c r="J75" s="430" t="s">
        <v>2</v>
      </c>
      <c r="K75" s="425"/>
      <c r="L75" s="470"/>
      <c r="M75" s="420"/>
      <c r="N75" s="514"/>
      <c r="O75" s="420"/>
      <c r="P75" s="515"/>
      <c r="Q75" s="420"/>
      <c r="R75" s="425"/>
      <c r="S75" s="516"/>
      <c r="T75" s="420"/>
      <c r="U75" s="515"/>
      <c r="V75" s="420"/>
      <c r="W75" s="425"/>
      <c r="X75" s="515"/>
      <c r="Y75" s="420"/>
      <c r="Z75" s="515"/>
      <c r="AA75" s="420"/>
      <c r="AB75" s="425"/>
      <c r="AC75" s="517"/>
      <c r="AD75" s="432"/>
      <c r="AE75" s="388"/>
      <c r="AF75" s="514"/>
      <c r="AG75" s="420"/>
      <c r="AH75" s="515"/>
      <c r="AI75" s="420"/>
      <c r="AJ75" s="425"/>
      <c r="AK75" s="516"/>
      <c r="AL75" s="420"/>
      <c r="AM75" s="515"/>
      <c r="AN75" s="420"/>
      <c r="AO75" s="425"/>
      <c r="AP75" s="515"/>
      <c r="AQ75" s="420"/>
      <c r="AR75" s="515"/>
      <c r="AS75" s="420"/>
      <c r="AT75" s="425"/>
      <c r="AU75" s="518"/>
      <c r="AV75" s="432"/>
      <c r="AW75" s="388"/>
      <c r="AX75" s="342"/>
      <c r="AY75" s="342"/>
      <c r="AZ75" s="342"/>
      <c r="BA75" s="342"/>
      <c r="BB75" s="342"/>
      <c r="BC75" s="342"/>
      <c r="BD75" s="342"/>
      <c r="BE75" s="342"/>
      <c r="BF75" s="342"/>
      <c r="BG75" s="342"/>
      <c r="BH75" s="342"/>
      <c r="BI75" s="342"/>
      <c r="BJ75" s="342"/>
      <c r="BK75" s="388"/>
      <c r="BL75" s="388"/>
      <c r="BM75" s="388"/>
      <c r="BN75" s="388"/>
      <c r="BO75" s="388"/>
      <c r="BP75" s="388"/>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c r="DJ75" s="388"/>
      <c r="DK75" s="388"/>
      <c r="DL75" s="388"/>
      <c r="DM75" s="388"/>
      <c r="DN75" s="388"/>
      <c r="DO75" s="388"/>
      <c r="DP75" s="388"/>
      <c r="DQ75" s="388"/>
      <c r="DR75" s="388"/>
      <c r="DS75" s="388"/>
      <c r="DT75" s="388"/>
      <c r="DU75" s="388"/>
      <c r="DV75" s="388"/>
      <c r="DW75" s="388"/>
      <c r="DX75" s="388"/>
      <c r="DY75" s="388"/>
      <c r="DZ75" s="388"/>
      <c r="EA75" s="388"/>
      <c r="EB75" s="388"/>
      <c r="EC75" s="388"/>
      <c r="ED75" s="388"/>
      <c r="EE75" s="388"/>
      <c r="EF75" s="388"/>
    </row>
    <row r="76" spans="1:136" outlineLevel="1" x14ac:dyDescent="0.25">
      <c r="A76" s="440"/>
      <c r="B76" s="472"/>
      <c r="C76" s="425"/>
      <c r="D76" s="425"/>
      <c r="E76" s="425"/>
      <c r="F76" s="425"/>
      <c r="G76" s="473"/>
      <c r="H76" s="427">
        <f>GENERALITES!$D$15</f>
        <v>0</v>
      </c>
      <c r="I76" s="436"/>
      <c r="J76" s="430" t="s">
        <v>2</v>
      </c>
      <c r="K76" s="425"/>
      <c r="L76" s="470"/>
      <c r="M76" s="420"/>
      <c r="N76" s="514"/>
      <c r="O76" s="420"/>
      <c r="P76" s="515"/>
      <c r="Q76" s="420"/>
      <c r="R76" s="425"/>
      <c r="S76" s="516"/>
      <c r="T76" s="420"/>
      <c r="U76" s="515"/>
      <c r="V76" s="420"/>
      <c r="W76" s="425"/>
      <c r="X76" s="515"/>
      <c r="Y76" s="420"/>
      <c r="Z76" s="515"/>
      <c r="AA76" s="420"/>
      <c r="AB76" s="425"/>
      <c r="AC76" s="517"/>
      <c r="AD76" s="432"/>
      <c r="AE76" s="388"/>
      <c r="AF76" s="514"/>
      <c r="AG76" s="420"/>
      <c r="AH76" s="515"/>
      <c r="AI76" s="420"/>
      <c r="AJ76" s="425"/>
      <c r="AK76" s="516"/>
      <c r="AL76" s="420"/>
      <c r="AM76" s="515"/>
      <c r="AN76" s="420"/>
      <c r="AO76" s="425"/>
      <c r="AP76" s="515"/>
      <c r="AQ76" s="420"/>
      <c r="AR76" s="515"/>
      <c r="AS76" s="420"/>
      <c r="AT76" s="425"/>
      <c r="AU76" s="518"/>
      <c r="AV76" s="432"/>
      <c r="AW76" s="388"/>
      <c r="AX76" s="342"/>
      <c r="AY76" s="342"/>
      <c r="AZ76" s="342"/>
      <c r="BA76" s="342"/>
      <c r="BB76" s="342"/>
      <c r="BC76" s="342"/>
      <c r="BD76" s="342"/>
      <c r="BE76" s="342"/>
      <c r="BF76" s="342"/>
      <c r="BG76" s="342"/>
      <c r="BH76" s="342"/>
      <c r="BI76" s="342"/>
      <c r="BJ76" s="342"/>
      <c r="BK76" s="388"/>
      <c r="BL76" s="388"/>
      <c r="BM76" s="388"/>
      <c r="BN76" s="388"/>
      <c r="BO76" s="388"/>
      <c r="BP76" s="388"/>
      <c r="BQ76" s="388"/>
      <c r="BR76" s="388"/>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c r="EA76" s="388"/>
      <c r="EB76" s="388"/>
      <c r="EC76" s="388"/>
      <c r="ED76" s="388"/>
      <c r="EE76" s="388"/>
      <c r="EF76" s="388"/>
    </row>
    <row r="77" spans="1:136" ht="15.75" thickBot="1" x14ac:dyDescent="0.3">
      <c r="A77" s="440"/>
      <c r="B77" s="477"/>
      <c r="C77" s="478"/>
      <c r="D77" s="478"/>
      <c r="E77" s="478"/>
      <c r="F77" s="478"/>
      <c r="G77" s="478"/>
      <c r="H77" s="478"/>
      <c r="I77" s="478"/>
      <c r="J77" s="478"/>
      <c r="K77" s="478"/>
      <c r="L77" s="479"/>
      <c r="M77" s="440"/>
      <c r="N77" s="477"/>
      <c r="O77" s="478"/>
      <c r="P77" s="478"/>
      <c r="Q77" s="478"/>
      <c r="R77" s="478"/>
      <c r="S77" s="478"/>
      <c r="T77" s="478"/>
      <c r="U77" s="478"/>
      <c r="V77" s="478"/>
      <c r="W77" s="478"/>
      <c r="X77" s="478"/>
      <c r="Y77" s="478"/>
      <c r="Z77" s="478"/>
      <c r="AA77" s="478"/>
      <c r="AB77" s="478"/>
      <c r="AC77" s="478"/>
      <c r="AD77" s="479"/>
      <c r="AE77" s="440"/>
      <c r="AF77" s="444"/>
      <c r="AG77" s="445"/>
      <c r="AH77" s="445"/>
      <c r="AI77" s="445"/>
      <c r="AJ77" s="445"/>
      <c r="AK77" s="445"/>
      <c r="AL77" s="445"/>
      <c r="AM77" s="445"/>
      <c r="AN77" s="445"/>
      <c r="AO77" s="445"/>
      <c r="AP77" s="445"/>
      <c r="AQ77" s="445"/>
      <c r="AR77" s="445"/>
      <c r="AS77" s="445"/>
      <c r="AT77" s="445"/>
      <c r="AU77" s="445"/>
      <c r="AV77" s="446"/>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8"/>
      <c r="CZ77" s="388"/>
      <c r="DA77" s="388"/>
      <c r="DB77" s="388"/>
      <c r="DC77" s="388"/>
      <c r="DD77" s="388"/>
      <c r="DE77" s="388"/>
      <c r="DF77" s="388"/>
      <c r="DG77" s="388"/>
      <c r="DH77" s="388"/>
      <c r="DI77" s="388"/>
      <c r="DJ77" s="388"/>
      <c r="DK77" s="388"/>
      <c r="DL77" s="388"/>
      <c r="DM77" s="388"/>
      <c r="DN77" s="388"/>
      <c r="DO77" s="388"/>
      <c r="DP77" s="388"/>
      <c r="DQ77" s="388"/>
      <c r="DR77" s="388"/>
      <c r="DS77" s="388"/>
      <c r="DT77" s="388"/>
      <c r="DU77" s="388"/>
      <c r="DV77" s="388"/>
      <c r="DW77" s="388"/>
      <c r="DX77" s="388"/>
      <c r="DY77" s="388"/>
      <c r="DZ77" s="388"/>
      <c r="EA77" s="388"/>
      <c r="EB77" s="388"/>
      <c r="EC77" s="388"/>
      <c r="ED77" s="388"/>
      <c r="EE77" s="388"/>
      <c r="EF77" s="388"/>
    </row>
    <row r="78" spans="1:136" ht="21.75" customHeight="1" thickBot="1" x14ac:dyDescent="0.3">
      <c r="A78" s="440"/>
      <c r="B78" s="508" t="s">
        <v>29</v>
      </c>
      <c r="C78" s="509"/>
      <c r="D78" s="509"/>
      <c r="E78" s="509"/>
      <c r="F78" s="509"/>
      <c r="G78" s="509"/>
      <c r="H78" s="510"/>
      <c r="I78" s="342"/>
      <c r="J78" s="342"/>
      <c r="K78" s="342"/>
      <c r="L78" s="342"/>
      <c r="M78" s="342"/>
      <c r="N78" s="342"/>
      <c r="O78" s="342"/>
      <c r="P78" s="342"/>
      <c r="Q78" s="342"/>
      <c r="R78" s="342"/>
      <c r="S78" s="342"/>
      <c r="T78" s="342"/>
      <c r="U78" s="342"/>
      <c r="V78" s="342"/>
      <c r="W78" s="342"/>
      <c r="X78" s="342"/>
      <c r="Y78" s="342"/>
      <c r="Z78" s="342"/>
      <c r="AA78" s="342"/>
      <c r="AB78" s="342"/>
      <c r="AC78" s="342"/>
      <c r="AD78" s="342"/>
      <c r="AE78" s="440"/>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row>
    <row r="79" spans="1:136" outlineLevel="1" x14ac:dyDescent="0.25">
      <c r="B79" s="412"/>
      <c r="C79" s="413"/>
      <c r="D79" s="413"/>
      <c r="E79" s="413"/>
      <c r="F79" s="413"/>
      <c r="G79" s="413"/>
      <c r="H79" s="413"/>
      <c r="I79" s="413"/>
      <c r="J79" s="413"/>
      <c r="K79" s="413"/>
      <c r="L79" s="414"/>
      <c r="N79" s="412"/>
      <c r="O79" s="413"/>
      <c r="P79" s="413"/>
      <c r="Q79" s="413"/>
      <c r="R79" s="413"/>
      <c r="S79" s="413"/>
      <c r="T79" s="413"/>
      <c r="U79" s="413"/>
      <c r="V79" s="413"/>
      <c r="W79" s="413"/>
      <c r="X79" s="413"/>
      <c r="Y79" s="413"/>
      <c r="Z79" s="413"/>
      <c r="AA79" s="413"/>
      <c r="AB79" s="413"/>
      <c r="AC79" s="413"/>
      <c r="AD79" s="414"/>
    </row>
    <row r="80" spans="1:136" ht="15" customHeight="1" outlineLevel="1" x14ac:dyDescent="0.25">
      <c r="B80" s="415" t="s">
        <v>50</v>
      </c>
      <c r="C80" s="416"/>
      <c r="D80" s="416"/>
      <c r="E80" s="416"/>
      <c r="F80" s="416"/>
      <c r="G80" s="416"/>
      <c r="H80" s="416"/>
      <c r="I80" s="416"/>
      <c r="J80" s="416"/>
      <c r="K80" s="416"/>
      <c r="L80" s="417"/>
      <c r="M80" s="342"/>
      <c r="N80" s="418" t="s">
        <v>51</v>
      </c>
      <c r="O80" s="289"/>
      <c r="P80" s="289"/>
      <c r="Q80" s="289"/>
      <c r="R80" s="289"/>
      <c r="S80" s="289"/>
      <c r="T80" s="289"/>
      <c r="U80" s="289"/>
      <c r="V80" s="289"/>
      <c r="W80" s="289"/>
      <c r="X80" s="289"/>
      <c r="Y80" s="289"/>
      <c r="Z80" s="289"/>
      <c r="AA80" s="289"/>
      <c r="AB80" s="289"/>
      <c r="AC80" s="289"/>
      <c r="AD80" s="419"/>
      <c r="AE80" s="388"/>
      <c r="AF80" s="342"/>
      <c r="AG80" s="342"/>
      <c r="AH80" s="342"/>
      <c r="AI80" s="342"/>
      <c r="AJ80" s="342"/>
      <c r="AK80" s="342"/>
      <c r="AL80" s="342"/>
      <c r="AM80" s="342"/>
      <c r="AN80" s="342"/>
      <c r="AO80" s="342"/>
      <c r="AP80" s="342"/>
      <c r="AQ80" s="342"/>
      <c r="AR80" s="342"/>
      <c r="AS80" s="342"/>
      <c r="AT80" s="342"/>
      <c r="AU80" s="342"/>
      <c r="AV80" s="342"/>
      <c r="AX80" s="342"/>
      <c r="AY80" s="342"/>
      <c r="AZ80" s="342"/>
      <c r="BA80" s="342"/>
      <c r="BB80" s="342"/>
      <c r="BC80" s="342"/>
      <c r="BD80" s="342"/>
      <c r="BE80" s="342"/>
      <c r="BF80" s="342"/>
      <c r="BG80" s="342"/>
      <c r="BH80" s="342"/>
      <c r="BI80" s="342"/>
      <c r="BJ80" s="342"/>
    </row>
    <row r="81" spans="1:136" ht="43.5" customHeight="1" outlineLevel="1" x14ac:dyDescent="0.25">
      <c r="B81" s="464" t="s">
        <v>17</v>
      </c>
      <c r="C81" s="425"/>
      <c r="D81" s="425"/>
      <c r="E81" s="425"/>
      <c r="F81" s="425"/>
      <c r="G81" s="422" t="s">
        <v>407</v>
      </c>
      <c r="H81" s="270"/>
      <c r="I81" s="422" t="s">
        <v>408</v>
      </c>
      <c r="J81" s="447"/>
      <c r="K81" s="447"/>
      <c r="L81" s="401"/>
      <c r="M81" s="342"/>
      <c r="N81" s="269" t="s">
        <v>102</v>
      </c>
      <c r="O81" s="270"/>
      <c r="P81" s="422" t="s">
        <v>409</v>
      </c>
      <c r="Q81" s="270"/>
      <c r="R81" s="425"/>
      <c r="S81" s="422" t="s">
        <v>103</v>
      </c>
      <c r="T81" s="270"/>
      <c r="U81" s="422" t="s">
        <v>104</v>
      </c>
      <c r="V81" s="270"/>
      <c r="W81" s="425"/>
      <c r="X81" s="422" t="s">
        <v>410</v>
      </c>
      <c r="Y81" s="270"/>
      <c r="Z81" s="422" t="s">
        <v>411</v>
      </c>
      <c r="AA81" s="270"/>
      <c r="AB81" s="425"/>
      <c r="AC81" s="422" t="s">
        <v>412</v>
      </c>
      <c r="AD81" s="401"/>
      <c r="AE81" s="388"/>
      <c r="AF81" s="388"/>
      <c r="AG81" s="388"/>
      <c r="AH81" s="388"/>
      <c r="AI81" s="388"/>
      <c r="AJ81" s="388"/>
      <c r="AK81" s="388"/>
      <c r="AL81" s="388"/>
      <c r="AM81" s="388"/>
      <c r="AN81" s="388"/>
      <c r="AO81" s="388"/>
      <c r="AP81" s="388"/>
      <c r="AQ81" s="388"/>
      <c r="AR81" s="388"/>
      <c r="AS81" s="388"/>
      <c r="AT81" s="388"/>
      <c r="AU81" s="388"/>
      <c r="AV81" s="388"/>
      <c r="AX81" s="342"/>
      <c r="AY81" s="342"/>
      <c r="AZ81" s="342"/>
      <c r="BA81" s="342"/>
      <c r="BB81" s="342"/>
      <c r="BC81" s="342"/>
      <c r="BD81" s="342"/>
      <c r="BE81" s="342"/>
      <c r="BF81" s="342"/>
      <c r="BG81" s="342"/>
      <c r="BH81" s="342"/>
      <c r="BI81" s="342"/>
      <c r="BJ81" s="342"/>
    </row>
    <row r="82" spans="1:136" outlineLevel="1" x14ac:dyDescent="0.25">
      <c r="B82" s="435" t="s">
        <v>18</v>
      </c>
      <c r="C82" s="425"/>
      <c r="D82" s="425"/>
      <c r="E82" s="425"/>
      <c r="F82" s="425"/>
      <c r="G82" s="469"/>
      <c r="H82" s="427" t="str">
        <f>GENERALITES!$D$16</f>
        <v>L</v>
      </c>
      <c r="I82" s="448">
        <f>$N$10</f>
        <v>0</v>
      </c>
      <c r="J82" s="449" t="s">
        <v>2</v>
      </c>
      <c r="K82" s="302">
        <f>IF(B82=Annexes!$B$3,G82*I82/100,SUMPRODUCT(G85:G88,I85:I88/100))</f>
        <v>0</v>
      </c>
      <c r="L82" s="428" t="str">
        <f>GENERALITES!$D$16</f>
        <v>L</v>
      </c>
      <c r="M82" s="342"/>
      <c r="N82" s="437">
        <f>GENERALITES!$D$49</f>
        <v>0.3</v>
      </c>
      <c r="O82" s="427" t="str">
        <f>GENERALITES!$E$49</f>
        <v>€ / L</v>
      </c>
      <c r="P82" s="302">
        <f>IF(B82=Annexes!$B$3,G82*N82,SUM(G85:G88)*N82)</f>
        <v>0</v>
      </c>
      <c r="Q82" s="427" t="s">
        <v>6</v>
      </c>
      <c r="R82" s="425"/>
      <c r="S82" s="302">
        <f>'ETAPE 4'!Z82</f>
        <v>56.080735474888698</v>
      </c>
      <c r="T82" s="427" t="s">
        <v>72</v>
      </c>
      <c r="U82" s="448">
        <f>S82*$B$10</f>
        <v>0</v>
      </c>
      <c r="V82" s="427" t="s">
        <v>6</v>
      </c>
      <c r="W82" s="425"/>
      <c r="X82" s="302">
        <f>P82+U82</f>
        <v>0</v>
      </c>
      <c r="Y82" s="427" t="s">
        <v>6</v>
      </c>
      <c r="Z82" s="302">
        <f>IF($E$10&lt;&gt;0,X82/$E$10,0)</f>
        <v>0</v>
      </c>
      <c r="AA82" s="427" t="s">
        <v>72</v>
      </c>
      <c r="AB82" s="425"/>
      <c r="AC82" s="302">
        <f>$N$10/100*U82+IF(B82=Annexes!$B$3,I82/100*P82,IF(SUM(G85:G88)&gt;0,K82/SUM(G85:G88)*P82,0))</f>
        <v>0</v>
      </c>
      <c r="AD82" s="428" t="s">
        <v>6</v>
      </c>
      <c r="AE82" s="388"/>
      <c r="AF82" s="388"/>
      <c r="AG82" s="388"/>
      <c r="AH82" s="388"/>
      <c r="AI82" s="388"/>
      <c r="AJ82" s="388"/>
      <c r="AK82" s="388"/>
      <c r="AL82" s="388"/>
      <c r="AM82" s="388"/>
      <c r="AN82" s="388"/>
      <c r="AO82" s="388"/>
      <c r="AP82" s="388"/>
      <c r="AQ82" s="388"/>
      <c r="AR82" s="388"/>
      <c r="AS82" s="388"/>
      <c r="AT82" s="388"/>
      <c r="AU82" s="388"/>
      <c r="AV82" s="388"/>
      <c r="AX82" s="342"/>
      <c r="AY82" s="342"/>
      <c r="AZ82" s="342"/>
      <c r="BA82" s="342"/>
      <c r="BB82" s="342"/>
      <c r="BC82" s="342"/>
      <c r="BD82" s="342"/>
      <c r="BE82" s="342"/>
      <c r="BF82" s="342"/>
      <c r="BG82" s="342"/>
      <c r="BH82" s="342"/>
      <c r="BI82" s="342"/>
      <c r="BJ82" s="342"/>
    </row>
    <row r="83" spans="1:136" outlineLevel="1" x14ac:dyDescent="0.25">
      <c r="B83" s="431"/>
      <c r="C83" s="425"/>
      <c r="D83" s="425"/>
      <c r="E83" s="425"/>
      <c r="F83" s="425"/>
      <c r="G83" s="420"/>
      <c r="H83" s="420"/>
      <c r="I83" s="420"/>
      <c r="J83" s="420"/>
      <c r="K83" s="420"/>
      <c r="L83" s="432"/>
      <c r="M83" s="342"/>
      <c r="N83" s="514"/>
      <c r="O83" s="420"/>
      <c r="P83" s="515"/>
      <c r="Q83" s="420"/>
      <c r="R83" s="425"/>
      <c r="S83" s="516"/>
      <c r="T83" s="420"/>
      <c r="U83" s="515"/>
      <c r="V83" s="420"/>
      <c r="W83" s="425"/>
      <c r="X83" s="515"/>
      <c r="Y83" s="420"/>
      <c r="Z83" s="515"/>
      <c r="AA83" s="420"/>
      <c r="AB83" s="425"/>
      <c r="AC83" s="517"/>
      <c r="AD83" s="432"/>
      <c r="AE83" s="388"/>
      <c r="AF83" s="388"/>
      <c r="AG83" s="388"/>
      <c r="AH83" s="388"/>
      <c r="AI83" s="388"/>
      <c r="AJ83" s="388"/>
      <c r="AK83" s="388"/>
      <c r="AL83" s="388"/>
      <c r="AM83" s="388"/>
      <c r="AN83" s="388"/>
      <c r="AO83" s="388"/>
      <c r="AP83" s="388"/>
      <c r="AQ83" s="388"/>
      <c r="AR83" s="388"/>
      <c r="AS83" s="388"/>
      <c r="AT83" s="388"/>
      <c r="AU83" s="388"/>
      <c r="AV83" s="388"/>
      <c r="AX83" s="342"/>
      <c r="AY83" s="342"/>
      <c r="AZ83" s="342"/>
      <c r="BA83" s="342"/>
      <c r="BB83" s="342"/>
      <c r="BC83" s="342"/>
      <c r="BD83" s="342"/>
      <c r="BE83" s="342"/>
      <c r="BF83" s="342"/>
      <c r="BG83" s="342"/>
      <c r="BH83" s="342"/>
      <c r="BI83" s="342"/>
      <c r="BJ83" s="342"/>
    </row>
    <row r="84" spans="1:136" outlineLevel="1" x14ac:dyDescent="0.25">
      <c r="B84" s="464" t="s">
        <v>7</v>
      </c>
      <c r="C84" s="425"/>
      <c r="D84" s="425"/>
      <c r="E84" s="425"/>
      <c r="F84" s="425"/>
      <c r="G84" s="519"/>
      <c r="H84" s="519"/>
      <c r="I84" s="434"/>
      <c r="J84" s="434"/>
      <c r="K84" s="425"/>
      <c r="L84" s="470"/>
      <c r="M84" s="342"/>
      <c r="N84" s="514"/>
      <c r="O84" s="420"/>
      <c r="P84" s="515"/>
      <c r="Q84" s="420"/>
      <c r="R84" s="425"/>
      <c r="S84" s="516"/>
      <c r="T84" s="420"/>
      <c r="U84" s="515"/>
      <c r="V84" s="420"/>
      <c r="W84" s="425"/>
      <c r="X84" s="515"/>
      <c r="Y84" s="420"/>
      <c r="Z84" s="515"/>
      <c r="AA84" s="420"/>
      <c r="AB84" s="425"/>
      <c r="AC84" s="517"/>
      <c r="AD84" s="432"/>
      <c r="AE84" s="388"/>
      <c r="AF84" s="388"/>
      <c r="AG84" s="388"/>
      <c r="AH84" s="388"/>
      <c r="AI84" s="388"/>
      <c r="AJ84" s="388"/>
      <c r="AK84" s="388"/>
      <c r="AL84" s="388"/>
      <c r="AM84" s="388"/>
      <c r="AN84" s="388"/>
      <c r="AO84" s="388"/>
      <c r="AP84" s="388"/>
      <c r="AQ84" s="388"/>
      <c r="AR84" s="388"/>
      <c r="AS84" s="388"/>
      <c r="AT84" s="388"/>
      <c r="AU84" s="388"/>
      <c r="AV84" s="388"/>
      <c r="AX84" s="342"/>
      <c r="AY84" s="342"/>
      <c r="AZ84" s="342"/>
      <c r="BA84" s="342"/>
      <c r="BB84" s="342"/>
      <c r="BC84" s="342"/>
      <c r="BD84" s="342"/>
      <c r="BE84" s="342"/>
      <c r="BF84" s="342"/>
      <c r="BG84" s="342"/>
      <c r="BH84" s="342"/>
      <c r="BI84" s="342"/>
      <c r="BJ84" s="342"/>
    </row>
    <row r="85" spans="1:136" outlineLevel="1" x14ac:dyDescent="0.25">
      <c r="B85" s="472"/>
      <c r="C85" s="425"/>
      <c r="D85" s="425"/>
      <c r="E85" s="425"/>
      <c r="F85" s="425"/>
      <c r="G85" s="473"/>
      <c r="H85" s="474" t="str">
        <f>GENERALITES!$D$16</f>
        <v>L</v>
      </c>
      <c r="I85" s="436"/>
      <c r="J85" s="430" t="s">
        <v>2</v>
      </c>
      <c r="K85" s="425"/>
      <c r="L85" s="470"/>
      <c r="M85" s="342"/>
      <c r="N85" s="514"/>
      <c r="O85" s="420"/>
      <c r="P85" s="515"/>
      <c r="Q85" s="420"/>
      <c r="R85" s="425"/>
      <c r="S85" s="516"/>
      <c r="T85" s="420"/>
      <c r="U85" s="515"/>
      <c r="V85" s="420"/>
      <c r="W85" s="425"/>
      <c r="X85" s="515"/>
      <c r="Y85" s="420"/>
      <c r="Z85" s="515"/>
      <c r="AA85" s="420"/>
      <c r="AB85" s="425"/>
      <c r="AC85" s="517"/>
      <c r="AD85" s="432"/>
      <c r="AE85" s="388"/>
      <c r="AF85" s="388"/>
      <c r="AG85" s="388"/>
      <c r="AH85" s="388"/>
      <c r="AI85" s="388"/>
      <c r="AJ85" s="388"/>
      <c r="AK85" s="388"/>
      <c r="AL85" s="388"/>
      <c r="AM85" s="388"/>
      <c r="AN85" s="388"/>
      <c r="AO85" s="388"/>
      <c r="AP85" s="388"/>
      <c r="AQ85" s="388"/>
      <c r="AR85" s="388"/>
      <c r="AS85" s="388"/>
      <c r="AT85" s="388"/>
      <c r="AU85" s="388"/>
      <c r="AV85" s="388"/>
      <c r="AX85" s="342"/>
      <c r="AY85" s="342"/>
      <c r="AZ85" s="342"/>
      <c r="BA85" s="342"/>
      <c r="BB85" s="342"/>
      <c r="BC85" s="342"/>
      <c r="BD85" s="342"/>
      <c r="BE85" s="342"/>
      <c r="BF85" s="342"/>
      <c r="BG85" s="342"/>
      <c r="BH85" s="342"/>
      <c r="BI85" s="342"/>
      <c r="BJ85" s="342"/>
    </row>
    <row r="86" spans="1:136" outlineLevel="1" x14ac:dyDescent="0.25">
      <c r="B86" s="472"/>
      <c r="C86" s="425"/>
      <c r="D86" s="425"/>
      <c r="E86" s="425"/>
      <c r="F86" s="425"/>
      <c r="G86" s="473"/>
      <c r="H86" s="474" t="str">
        <f>GENERALITES!$D$16</f>
        <v>L</v>
      </c>
      <c r="I86" s="436"/>
      <c r="J86" s="430" t="s">
        <v>2</v>
      </c>
      <c r="K86" s="425"/>
      <c r="L86" s="470"/>
      <c r="M86" s="342"/>
      <c r="N86" s="514"/>
      <c r="O86" s="420"/>
      <c r="P86" s="515"/>
      <c r="Q86" s="420"/>
      <c r="R86" s="425"/>
      <c r="S86" s="516"/>
      <c r="T86" s="420"/>
      <c r="U86" s="515"/>
      <c r="V86" s="420"/>
      <c r="W86" s="425"/>
      <c r="X86" s="515"/>
      <c r="Y86" s="420"/>
      <c r="Z86" s="515"/>
      <c r="AA86" s="420"/>
      <c r="AB86" s="425"/>
      <c r="AC86" s="517"/>
      <c r="AD86" s="432"/>
      <c r="AE86" s="388"/>
      <c r="AF86" s="388"/>
      <c r="AG86" s="388"/>
      <c r="AH86" s="388"/>
      <c r="AI86" s="388"/>
      <c r="AJ86" s="388"/>
      <c r="AK86" s="388"/>
      <c r="AL86" s="388"/>
      <c r="AM86" s="388"/>
      <c r="AN86" s="388"/>
      <c r="AO86" s="388"/>
      <c r="AP86" s="388"/>
      <c r="AQ86" s="388"/>
      <c r="AR86" s="388"/>
      <c r="AS86" s="388"/>
      <c r="AT86" s="388"/>
      <c r="AU86" s="388"/>
      <c r="AV86" s="388"/>
      <c r="AX86" s="342"/>
      <c r="AY86" s="342"/>
      <c r="AZ86" s="342"/>
      <c r="BA86" s="342"/>
      <c r="BB86" s="342"/>
      <c r="BC86" s="342"/>
      <c r="BD86" s="342"/>
      <c r="BE86" s="342"/>
      <c r="BF86" s="342"/>
      <c r="BG86" s="342"/>
      <c r="BH86" s="342"/>
      <c r="BI86" s="342"/>
      <c r="BJ86" s="342"/>
    </row>
    <row r="87" spans="1:136" outlineLevel="1" x14ac:dyDescent="0.25">
      <c r="B87" s="472"/>
      <c r="C87" s="425"/>
      <c r="D87" s="425"/>
      <c r="E87" s="425"/>
      <c r="F87" s="425"/>
      <c r="G87" s="473"/>
      <c r="H87" s="474" t="str">
        <f>GENERALITES!$D$16</f>
        <v>L</v>
      </c>
      <c r="I87" s="436"/>
      <c r="J87" s="430" t="s">
        <v>2</v>
      </c>
      <c r="K87" s="425"/>
      <c r="L87" s="470"/>
      <c r="M87" s="342"/>
      <c r="N87" s="514"/>
      <c r="O87" s="420"/>
      <c r="P87" s="515"/>
      <c r="Q87" s="420"/>
      <c r="R87" s="425"/>
      <c r="S87" s="516"/>
      <c r="T87" s="420"/>
      <c r="U87" s="515"/>
      <c r="V87" s="420"/>
      <c r="W87" s="425"/>
      <c r="X87" s="515"/>
      <c r="Y87" s="420"/>
      <c r="Z87" s="515"/>
      <c r="AA87" s="420"/>
      <c r="AB87" s="425"/>
      <c r="AC87" s="517"/>
      <c r="AD87" s="432"/>
      <c r="AE87" s="388"/>
      <c r="AF87" s="388"/>
      <c r="AG87" s="388"/>
      <c r="AH87" s="388"/>
      <c r="AI87" s="388"/>
      <c r="AJ87" s="388"/>
      <c r="AK87" s="388"/>
      <c r="AL87" s="388"/>
      <c r="AM87" s="388"/>
      <c r="AN87" s="388"/>
      <c r="AO87" s="388"/>
      <c r="AP87" s="388"/>
      <c r="AQ87" s="388"/>
      <c r="AR87" s="388"/>
      <c r="AS87" s="388"/>
      <c r="AT87" s="388"/>
      <c r="AU87" s="388"/>
      <c r="AV87" s="388"/>
      <c r="AX87" s="342"/>
      <c r="AY87" s="342"/>
      <c r="AZ87" s="342"/>
      <c r="BA87" s="342"/>
      <c r="BB87" s="342"/>
      <c r="BC87" s="342"/>
      <c r="BD87" s="342"/>
      <c r="BE87" s="342"/>
      <c r="BF87" s="342"/>
      <c r="BG87" s="342"/>
      <c r="BH87" s="342"/>
      <c r="BI87" s="342"/>
      <c r="BJ87" s="342"/>
    </row>
    <row r="88" spans="1:136" outlineLevel="1" x14ac:dyDescent="0.25">
      <c r="B88" s="472"/>
      <c r="C88" s="425"/>
      <c r="D88" s="425"/>
      <c r="E88" s="425"/>
      <c r="F88" s="425"/>
      <c r="G88" s="473"/>
      <c r="H88" s="474" t="str">
        <f>GENERALITES!$D$16</f>
        <v>L</v>
      </c>
      <c r="I88" s="436"/>
      <c r="J88" s="430" t="s">
        <v>2</v>
      </c>
      <c r="K88" s="425"/>
      <c r="L88" s="470"/>
      <c r="M88" s="342"/>
      <c r="N88" s="514"/>
      <c r="O88" s="420"/>
      <c r="P88" s="515"/>
      <c r="Q88" s="420"/>
      <c r="R88" s="425"/>
      <c r="S88" s="516"/>
      <c r="T88" s="420"/>
      <c r="U88" s="515"/>
      <c r="V88" s="420"/>
      <c r="W88" s="425"/>
      <c r="X88" s="515"/>
      <c r="Y88" s="420"/>
      <c r="Z88" s="515"/>
      <c r="AA88" s="420"/>
      <c r="AB88" s="425"/>
      <c r="AC88" s="517"/>
      <c r="AD88" s="432"/>
      <c r="AE88" s="388"/>
      <c r="AF88" s="388"/>
      <c r="AG88" s="388"/>
      <c r="AH88" s="388"/>
      <c r="AI88" s="388"/>
      <c r="AJ88" s="388"/>
      <c r="AK88" s="388"/>
      <c r="AL88" s="388"/>
      <c r="AM88" s="388"/>
      <c r="AN88" s="388"/>
      <c r="AO88" s="388"/>
      <c r="AP88" s="388"/>
      <c r="AQ88" s="388"/>
      <c r="AR88" s="388"/>
      <c r="AS88" s="388"/>
      <c r="AT88" s="388"/>
      <c r="AU88" s="388"/>
      <c r="AV88" s="388"/>
      <c r="AX88" s="342"/>
      <c r="AY88" s="342"/>
      <c r="AZ88" s="342"/>
      <c r="BA88" s="342"/>
      <c r="BB88" s="342"/>
      <c r="BC88" s="342"/>
      <c r="BD88" s="342"/>
      <c r="BE88" s="342"/>
      <c r="BF88" s="342"/>
      <c r="BG88" s="342"/>
      <c r="BH88" s="342"/>
      <c r="BI88" s="342"/>
      <c r="BJ88" s="342"/>
    </row>
    <row r="89" spans="1:136" ht="15.75" thickBot="1" x14ac:dyDescent="0.3">
      <c r="A89" s="440"/>
      <c r="B89" s="477"/>
      <c r="C89" s="478"/>
      <c r="D89" s="478"/>
      <c r="E89" s="478"/>
      <c r="F89" s="478"/>
      <c r="G89" s="478"/>
      <c r="H89" s="478"/>
      <c r="I89" s="478"/>
      <c r="J89" s="478"/>
      <c r="K89" s="478"/>
      <c r="L89" s="479"/>
      <c r="M89" s="440"/>
      <c r="N89" s="477"/>
      <c r="O89" s="478"/>
      <c r="P89" s="478"/>
      <c r="Q89" s="478"/>
      <c r="R89" s="478"/>
      <c r="S89" s="478"/>
      <c r="T89" s="478"/>
      <c r="U89" s="478"/>
      <c r="V89" s="478"/>
      <c r="W89" s="478"/>
      <c r="X89" s="478"/>
      <c r="Y89" s="478"/>
      <c r="Z89" s="478"/>
      <c r="AA89" s="478"/>
      <c r="AB89" s="478"/>
      <c r="AC89" s="478"/>
      <c r="AD89" s="479"/>
      <c r="AE89" s="440"/>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8"/>
      <c r="DJ89" s="388"/>
      <c r="DK89" s="388"/>
      <c r="DL89" s="388"/>
      <c r="DM89" s="388"/>
      <c r="DN89" s="388"/>
      <c r="DO89" s="388"/>
      <c r="DP89" s="388"/>
      <c r="DQ89" s="388"/>
      <c r="DR89" s="388"/>
      <c r="DS89" s="388"/>
      <c r="DT89" s="388"/>
      <c r="DU89" s="388"/>
      <c r="DV89" s="388"/>
      <c r="DW89" s="388"/>
      <c r="DX89" s="388"/>
      <c r="DY89" s="388"/>
      <c r="DZ89" s="388"/>
      <c r="EA89" s="388"/>
      <c r="EB89" s="388"/>
      <c r="EC89" s="388"/>
      <c r="ED89" s="388"/>
      <c r="EE89" s="388"/>
      <c r="EF89" s="388"/>
    </row>
    <row r="90" spans="1:136" ht="30" customHeight="1" thickBot="1" x14ac:dyDescent="0.3">
      <c r="A90" s="388"/>
      <c r="B90" s="499" t="s">
        <v>65</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1"/>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row>
    <row r="91" spans="1:136" outlineLevel="1" x14ac:dyDescent="0.25">
      <c r="B91" s="412"/>
      <c r="C91" s="413"/>
      <c r="D91" s="413"/>
      <c r="E91" s="413"/>
      <c r="F91" s="413"/>
      <c r="G91" s="413"/>
      <c r="H91" s="413"/>
      <c r="I91" s="413"/>
      <c r="J91" s="413"/>
      <c r="K91" s="413"/>
      <c r="L91" s="414"/>
      <c r="N91" s="412"/>
      <c r="O91" s="413"/>
      <c r="P91" s="413"/>
      <c r="Q91" s="413"/>
      <c r="R91" s="413"/>
      <c r="S91" s="413"/>
      <c r="T91" s="413"/>
      <c r="U91" s="413"/>
      <c r="V91" s="413"/>
      <c r="W91" s="413"/>
      <c r="X91" s="413"/>
      <c r="Y91" s="413"/>
      <c r="Z91" s="413"/>
      <c r="AA91" s="413"/>
      <c r="AB91" s="413"/>
      <c r="AC91" s="413"/>
      <c r="AD91" s="414"/>
    </row>
    <row r="92" spans="1:136" ht="15" customHeight="1" outlineLevel="1" x14ac:dyDescent="0.25">
      <c r="B92" s="415" t="s">
        <v>4</v>
      </c>
      <c r="C92" s="416"/>
      <c r="D92" s="416"/>
      <c r="E92" s="416"/>
      <c r="F92" s="416"/>
      <c r="G92" s="416"/>
      <c r="H92" s="416"/>
      <c r="I92" s="416"/>
      <c r="J92" s="416"/>
      <c r="K92" s="416"/>
      <c r="L92" s="417"/>
      <c r="M92" s="342"/>
      <c r="N92" s="418" t="s">
        <v>75</v>
      </c>
      <c r="O92" s="289"/>
      <c r="P92" s="289"/>
      <c r="Q92" s="289"/>
      <c r="R92" s="289"/>
      <c r="S92" s="289"/>
      <c r="T92" s="289"/>
      <c r="U92" s="289"/>
      <c r="V92" s="289"/>
      <c r="W92" s="289"/>
      <c r="X92" s="289"/>
      <c r="Y92" s="289"/>
      <c r="Z92" s="289"/>
      <c r="AA92" s="289"/>
      <c r="AB92" s="289"/>
      <c r="AC92" s="289"/>
      <c r="AD92" s="419"/>
      <c r="AE92" s="388"/>
      <c r="AF92" s="342"/>
      <c r="AG92" s="342"/>
      <c r="AH92" s="342"/>
      <c r="AI92" s="342"/>
      <c r="AJ92" s="342"/>
      <c r="AK92" s="342"/>
      <c r="AL92" s="342"/>
      <c r="AM92" s="342"/>
      <c r="AN92" s="342"/>
      <c r="AO92" s="342"/>
      <c r="AP92" s="342"/>
      <c r="AQ92" s="342"/>
      <c r="AR92" s="342"/>
      <c r="AS92" s="342"/>
      <c r="AT92" s="342"/>
      <c r="AU92" s="342"/>
      <c r="AV92" s="342"/>
      <c r="AX92" s="342"/>
      <c r="AY92" s="342"/>
      <c r="AZ92" s="342"/>
      <c r="BA92" s="342"/>
      <c r="BB92" s="342"/>
      <c r="BC92" s="342"/>
    </row>
    <row r="93" spans="1:136" ht="43.5" customHeight="1" outlineLevel="1" x14ac:dyDescent="0.25">
      <c r="B93" s="486" t="s">
        <v>17</v>
      </c>
      <c r="C93" s="425"/>
      <c r="D93" s="425"/>
      <c r="E93" s="425"/>
      <c r="F93" s="425"/>
      <c r="G93" s="422" t="s">
        <v>413</v>
      </c>
      <c r="H93" s="270"/>
      <c r="I93" s="422" t="s">
        <v>414</v>
      </c>
      <c r="J93" s="447"/>
      <c r="K93" s="447"/>
      <c r="L93" s="401"/>
      <c r="M93" s="342"/>
      <c r="N93" s="269" t="s">
        <v>39</v>
      </c>
      <c r="O93" s="270"/>
      <c r="P93" s="422" t="s">
        <v>415</v>
      </c>
      <c r="Q93" s="270"/>
      <c r="R93" s="425"/>
      <c r="S93" s="422" t="s">
        <v>106</v>
      </c>
      <c r="T93" s="270"/>
      <c r="U93" s="422" t="s">
        <v>107</v>
      </c>
      <c r="V93" s="270"/>
      <c r="W93" s="425"/>
      <c r="X93" s="422" t="s">
        <v>416</v>
      </c>
      <c r="Y93" s="270"/>
      <c r="Z93" s="422" t="s">
        <v>417</v>
      </c>
      <c r="AA93" s="270"/>
      <c r="AB93" s="425"/>
      <c r="AC93" s="422" t="s">
        <v>418</v>
      </c>
      <c r="AD93" s="401"/>
      <c r="AE93" s="388"/>
      <c r="AF93" s="388"/>
      <c r="AG93" s="388"/>
      <c r="AH93" s="388"/>
      <c r="AI93" s="388"/>
      <c r="AJ93" s="388"/>
      <c r="AK93" s="388"/>
      <c r="AL93" s="388"/>
      <c r="AM93" s="388"/>
      <c r="AN93" s="388"/>
      <c r="AO93" s="388"/>
      <c r="AP93" s="388"/>
      <c r="AQ93" s="388"/>
      <c r="AR93" s="388"/>
      <c r="AS93" s="388"/>
      <c r="AT93" s="388"/>
      <c r="AU93" s="388"/>
      <c r="AV93" s="388"/>
      <c r="AX93" s="342"/>
      <c r="AY93" s="342"/>
      <c r="AZ93" s="342"/>
      <c r="BA93" s="342"/>
      <c r="BB93" s="342"/>
      <c r="BC93" s="342"/>
    </row>
    <row r="94" spans="1:136" outlineLevel="1" x14ac:dyDescent="0.25">
      <c r="B94" s="435" t="s">
        <v>18</v>
      </c>
      <c r="C94" s="425"/>
      <c r="D94" s="425"/>
      <c r="E94" s="425"/>
      <c r="F94" s="425"/>
      <c r="G94" s="469"/>
      <c r="H94" s="427" t="s">
        <v>3</v>
      </c>
      <c r="I94" s="448">
        <f>$N$10</f>
        <v>0</v>
      </c>
      <c r="J94" s="449" t="s">
        <v>2</v>
      </c>
      <c r="K94" s="302">
        <f>IF(B94=Annexes!$B$3,G94*I94/100,SUMPRODUCT(G97:G100,I97:I100/100))</f>
        <v>0</v>
      </c>
      <c r="L94" s="428" t="s">
        <v>3</v>
      </c>
      <c r="M94" s="342"/>
      <c r="N94" s="437">
        <f>GENERALITES!$G$53</f>
        <v>47500</v>
      </c>
      <c r="O94" s="427" t="s">
        <v>11</v>
      </c>
      <c r="P94" s="302">
        <f>IF(B94=Annexes!$B$3,G94*N94,SUM(G97:G100)*N94)</f>
        <v>0</v>
      </c>
      <c r="Q94" s="427" t="s">
        <v>6</v>
      </c>
      <c r="R94" s="425"/>
      <c r="S94" s="302">
        <f>'ETAPE 4'!Z94</f>
        <v>4573.5373810866249</v>
      </c>
      <c r="T94" s="427" t="s">
        <v>72</v>
      </c>
      <c r="U94" s="448">
        <f>S94*$B$10</f>
        <v>0</v>
      </c>
      <c r="V94" s="427" t="s">
        <v>6</v>
      </c>
      <c r="W94" s="425"/>
      <c r="X94" s="302">
        <f>P94+U94</f>
        <v>0</v>
      </c>
      <c r="Y94" s="427" t="s">
        <v>6</v>
      </c>
      <c r="Z94" s="302">
        <f>IF($E$10&lt;&gt;0,X94/$E$10,0)</f>
        <v>0</v>
      </c>
      <c r="AA94" s="427" t="s">
        <v>72</v>
      </c>
      <c r="AB94" s="425"/>
      <c r="AC94" s="302">
        <f>$N$10/100*U94+IF(B94=Annexes!$B$3,I94/100*P94,IF(SUM(G97:G100)&gt;0,K94/SUM(G97:G100)*P94,0))</f>
        <v>0</v>
      </c>
      <c r="AD94" s="428" t="s">
        <v>6</v>
      </c>
      <c r="AE94" s="388"/>
      <c r="AF94" s="388"/>
      <c r="AG94" s="388"/>
      <c r="AH94" s="388"/>
      <c r="AI94" s="388"/>
      <c r="AJ94" s="388"/>
      <c r="AK94" s="388"/>
      <c r="AL94" s="388"/>
      <c r="AM94" s="388"/>
      <c r="AN94" s="388"/>
      <c r="AO94" s="388"/>
      <c r="AP94" s="388"/>
      <c r="AQ94" s="388"/>
      <c r="AR94" s="388"/>
      <c r="AS94" s="388"/>
      <c r="AT94" s="388"/>
      <c r="AU94" s="388"/>
      <c r="AV94" s="388"/>
      <c r="AX94" s="342"/>
      <c r="AY94" s="342"/>
      <c r="AZ94" s="342"/>
      <c r="BA94" s="342"/>
      <c r="BB94" s="342"/>
      <c r="BC94" s="342"/>
    </row>
    <row r="95" spans="1:136" ht="6.75" customHeight="1" outlineLevel="1" x14ac:dyDescent="0.25">
      <c r="A95" s="388"/>
      <c r="B95" s="431"/>
      <c r="C95" s="425"/>
      <c r="D95" s="425"/>
      <c r="E95" s="425"/>
      <c r="F95" s="425"/>
      <c r="G95" s="420"/>
      <c r="H95" s="420"/>
      <c r="I95" s="420"/>
      <c r="J95" s="420"/>
      <c r="K95" s="420"/>
      <c r="L95" s="432"/>
      <c r="M95" s="388"/>
      <c r="N95" s="431"/>
      <c r="O95" s="420"/>
      <c r="P95" s="420"/>
      <c r="Q95" s="420"/>
      <c r="R95" s="420"/>
      <c r="S95" s="420"/>
      <c r="T95" s="420"/>
      <c r="U95" s="420"/>
      <c r="V95" s="420"/>
      <c r="W95" s="420"/>
      <c r="X95" s="420"/>
      <c r="Y95" s="420"/>
      <c r="Z95" s="420"/>
      <c r="AA95" s="420"/>
      <c r="AB95" s="420"/>
      <c r="AC95" s="420"/>
      <c r="AD95" s="432"/>
      <c r="AE95" s="388"/>
      <c r="AF95" s="388"/>
      <c r="AG95" s="388"/>
      <c r="AH95" s="388"/>
      <c r="AI95" s="388"/>
      <c r="AJ95" s="388"/>
      <c r="AK95" s="388"/>
      <c r="AL95" s="388"/>
      <c r="AM95" s="388"/>
      <c r="AN95" s="388"/>
      <c r="AO95" s="388"/>
      <c r="AP95" s="388"/>
      <c r="AQ95" s="388"/>
      <c r="AR95" s="388"/>
      <c r="AS95" s="388"/>
      <c r="AT95" s="388"/>
      <c r="AU95" s="388"/>
      <c r="AV95" s="388"/>
      <c r="AW95" s="342"/>
      <c r="AX95" s="342"/>
      <c r="AY95" s="342"/>
      <c r="AZ95" s="342"/>
      <c r="BA95" s="342"/>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2"/>
      <c r="BY95" s="342"/>
      <c r="BZ95" s="342"/>
      <c r="CA95" s="342"/>
      <c r="CB95" s="342"/>
      <c r="CC95" s="342"/>
      <c r="CD95" s="342"/>
      <c r="CE95" s="342"/>
      <c r="CF95" s="342"/>
      <c r="CG95" s="342"/>
      <c r="CH95" s="342"/>
      <c r="CI95" s="342"/>
      <c r="CJ95" s="342"/>
      <c r="CK95" s="342"/>
      <c r="CL95" s="342"/>
      <c r="CM95" s="342"/>
      <c r="CN95" s="342"/>
      <c r="CO95" s="342"/>
      <c r="CP95" s="342"/>
      <c r="CQ95" s="342"/>
      <c r="CR95" s="342"/>
      <c r="CS95" s="342"/>
      <c r="CT95" s="342"/>
      <c r="CU95" s="342"/>
      <c r="CV95" s="342"/>
      <c r="CW95" s="342"/>
      <c r="CX95" s="342"/>
      <c r="CY95" s="342"/>
      <c r="CZ95" s="342"/>
      <c r="DA95" s="342"/>
      <c r="DB95" s="342"/>
      <c r="DC95" s="342"/>
      <c r="DD95" s="342"/>
      <c r="DE95" s="342"/>
      <c r="DF95" s="342"/>
      <c r="DG95" s="342"/>
      <c r="DH95" s="342"/>
      <c r="DI95" s="342"/>
      <c r="DJ95" s="342"/>
      <c r="DK95" s="342"/>
      <c r="DL95" s="342"/>
      <c r="DM95" s="342"/>
      <c r="DN95" s="342"/>
      <c r="DO95" s="342"/>
      <c r="DP95" s="342"/>
      <c r="DQ95" s="342"/>
      <c r="DR95" s="342"/>
      <c r="DS95" s="342"/>
      <c r="DT95" s="342"/>
      <c r="DU95" s="342"/>
      <c r="DV95" s="342"/>
      <c r="DW95" s="342"/>
      <c r="DX95" s="342"/>
      <c r="DY95" s="342"/>
      <c r="DZ95" s="342"/>
      <c r="EA95" s="342"/>
      <c r="EB95" s="342"/>
      <c r="EC95" s="342"/>
      <c r="ED95" s="342"/>
      <c r="EE95" s="342"/>
      <c r="EF95" s="342"/>
    </row>
    <row r="96" spans="1:136" ht="30.75" customHeight="1" outlineLevel="1" x14ac:dyDescent="0.25">
      <c r="B96" s="464" t="s">
        <v>12</v>
      </c>
      <c r="C96" s="425"/>
      <c r="D96" s="425"/>
      <c r="E96" s="425"/>
      <c r="F96" s="425"/>
      <c r="G96" s="420"/>
      <c r="H96" s="420"/>
      <c r="I96" s="420"/>
      <c r="J96" s="420"/>
      <c r="K96" s="420"/>
      <c r="L96" s="432"/>
      <c r="M96" s="388"/>
      <c r="N96" s="431"/>
      <c r="O96" s="420"/>
      <c r="P96" s="420"/>
      <c r="Q96" s="420"/>
      <c r="R96" s="420"/>
      <c r="S96" s="420"/>
      <c r="T96" s="420"/>
      <c r="U96" s="420"/>
      <c r="V96" s="420"/>
      <c r="W96" s="420"/>
      <c r="X96" s="420"/>
      <c r="Y96" s="420"/>
      <c r="Z96" s="420"/>
      <c r="AA96" s="420"/>
      <c r="AB96" s="420"/>
      <c r="AC96" s="420"/>
      <c r="AD96" s="432"/>
      <c r="AE96" s="388"/>
      <c r="AF96" s="388"/>
      <c r="AG96" s="388"/>
      <c r="AH96" s="388"/>
      <c r="AI96" s="388"/>
      <c r="AJ96" s="388"/>
      <c r="AK96" s="388"/>
      <c r="AL96" s="388"/>
      <c r="AM96" s="388"/>
      <c r="AN96" s="388"/>
      <c r="AO96" s="388"/>
      <c r="AP96" s="388"/>
      <c r="AQ96" s="388"/>
      <c r="AR96" s="388"/>
      <c r="AS96" s="388"/>
      <c r="AT96" s="388"/>
      <c r="AU96" s="388"/>
      <c r="AV96" s="388"/>
    </row>
    <row r="97" spans="1:136" outlineLevel="1" x14ac:dyDescent="0.25">
      <c r="B97" s="472"/>
      <c r="C97" s="425"/>
      <c r="D97" s="425"/>
      <c r="E97" s="425"/>
      <c r="F97" s="425"/>
      <c r="G97" s="436"/>
      <c r="H97" s="427" t="s">
        <v>3</v>
      </c>
      <c r="I97" s="436"/>
      <c r="J97" s="430" t="s">
        <v>2</v>
      </c>
      <c r="K97" s="425"/>
      <c r="L97" s="470"/>
      <c r="M97" s="342"/>
      <c r="N97" s="471"/>
      <c r="O97" s="425"/>
      <c r="P97" s="420"/>
      <c r="Q97" s="420"/>
      <c r="R97" s="420"/>
      <c r="S97" s="420"/>
      <c r="T97" s="420"/>
      <c r="U97" s="420"/>
      <c r="V97" s="420"/>
      <c r="W97" s="420"/>
      <c r="X97" s="420"/>
      <c r="Y97" s="420"/>
      <c r="Z97" s="420"/>
      <c r="AA97" s="420"/>
      <c r="AB97" s="420"/>
      <c r="AC97" s="420"/>
      <c r="AD97" s="432"/>
      <c r="AE97" s="388"/>
      <c r="AF97" s="388"/>
      <c r="AG97" s="388"/>
      <c r="AH97" s="388"/>
      <c r="AI97" s="388"/>
      <c r="AJ97" s="388"/>
      <c r="AK97" s="388"/>
      <c r="AL97" s="388"/>
      <c r="AM97" s="388"/>
      <c r="AN97" s="388"/>
      <c r="AO97" s="388"/>
      <c r="AP97" s="388"/>
      <c r="AQ97" s="388"/>
      <c r="AR97" s="388"/>
      <c r="AS97" s="388"/>
      <c r="AT97" s="388"/>
      <c r="AU97" s="388"/>
      <c r="AV97" s="388"/>
    </row>
    <row r="98" spans="1:136" outlineLevel="1" x14ac:dyDescent="0.25">
      <c r="B98" s="472"/>
      <c r="C98" s="425"/>
      <c r="D98" s="425"/>
      <c r="E98" s="425"/>
      <c r="F98" s="425"/>
      <c r="G98" s="436"/>
      <c r="H98" s="427" t="s">
        <v>3</v>
      </c>
      <c r="I98" s="436"/>
      <c r="J98" s="430" t="s">
        <v>2</v>
      </c>
      <c r="K98" s="425"/>
      <c r="L98" s="470"/>
      <c r="M98" s="342"/>
      <c r="N98" s="471"/>
      <c r="O98" s="425"/>
      <c r="P98" s="420"/>
      <c r="Q98" s="420"/>
      <c r="R98" s="420"/>
      <c r="S98" s="420"/>
      <c r="T98" s="420"/>
      <c r="U98" s="420"/>
      <c r="V98" s="420"/>
      <c r="W98" s="420"/>
      <c r="X98" s="420"/>
      <c r="Y98" s="420"/>
      <c r="Z98" s="420"/>
      <c r="AA98" s="420"/>
      <c r="AB98" s="420"/>
      <c r="AC98" s="420"/>
      <c r="AD98" s="432"/>
      <c r="AE98" s="388"/>
      <c r="AF98" s="388"/>
      <c r="AG98" s="388"/>
      <c r="AH98" s="388"/>
      <c r="AI98" s="388"/>
      <c r="AJ98" s="388"/>
      <c r="AK98" s="388"/>
      <c r="AL98" s="388"/>
      <c r="AM98" s="388"/>
      <c r="AN98" s="388"/>
      <c r="AO98" s="388"/>
      <c r="AP98" s="388"/>
      <c r="AQ98" s="388"/>
      <c r="AR98" s="388"/>
      <c r="AS98" s="388"/>
      <c r="AT98" s="388"/>
      <c r="AU98" s="388"/>
      <c r="AV98" s="388"/>
    </row>
    <row r="99" spans="1:136" outlineLevel="1" x14ac:dyDescent="0.25">
      <c r="B99" s="472"/>
      <c r="C99" s="425"/>
      <c r="D99" s="425"/>
      <c r="E99" s="425"/>
      <c r="F99" s="425"/>
      <c r="G99" s="436"/>
      <c r="H99" s="427" t="s">
        <v>3</v>
      </c>
      <c r="I99" s="436"/>
      <c r="J99" s="430" t="s">
        <v>2</v>
      </c>
      <c r="K99" s="425"/>
      <c r="L99" s="470"/>
      <c r="M99" s="342"/>
      <c r="N99" s="471"/>
      <c r="O99" s="425"/>
      <c r="P99" s="420"/>
      <c r="Q99" s="420"/>
      <c r="R99" s="420"/>
      <c r="S99" s="420"/>
      <c r="T99" s="420"/>
      <c r="U99" s="420"/>
      <c r="V99" s="420"/>
      <c r="W99" s="420"/>
      <c r="X99" s="420"/>
      <c r="Y99" s="420"/>
      <c r="Z99" s="420"/>
      <c r="AA99" s="420"/>
      <c r="AB99" s="420"/>
      <c r="AC99" s="420"/>
      <c r="AD99" s="432"/>
      <c r="AE99" s="388"/>
      <c r="AF99" s="388"/>
      <c r="AG99" s="388"/>
      <c r="AH99" s="388"/>
      <c r="AI99" s="388"/>
      <c r="AJ99" s="388"/>
      <c r="AK99" s="388"/>
      <c r="AL99" s="388"/>
      <c r="AM99" s="388"/>
      <c r="AN99" s="388"/>
      <c r="AO99" s="388"/>
      <c r="AP99" s="388"/>
      <c r="AQ99" s="388"/>
      <c r="AR99" s="388"/>
      <c r="AS99" s="388"/>
      <c r="AT99" s="388"/>
      <c r="AU99" s="388"/>
      <c r="AV99" s="388"/>
    </row>
    <row r="100" spans="1:136" outlineLevel="1" x14ac:dyDescent="0.25">
      <c r="B100" s="472"/>
      <c r="C100" s="425"/>
      <c r="D100" s="425"/>
      <c r="E100" s="425"/>
      <c r="F100" s="425"/>
      <c r="G100" s="436"/>
      <c r="H100" s="427" t="s">
        <v>3</v>
      </c>
      <c r="I100" s="436"/>
      <c r="J100" s="430" t="s">
        <v>2</v>
      </c>
      <c r="K100" s="425"/>
      <c r="L100" s="470"/>
      <c r="M100" s="342"/>
      <c r="N100" s="471"/>
      <c r="O100" s="425"/>
      <c r="P100" s="420"/>
      <c r="Q100" s="420"/>
      <c r="R100" s="420"/>
      <c r="S100" s="420"/>
      <c r="T100" s="420"/>
      <c r="U100" s="420"/>
      <c r="V100" s="420"/>
      <c r="W100" s="420"/>
      <c r="X100" s="420"/>
      <c r="Y100" s="420"/>
      <c r="Z100" s="420"/>
      <c r="AA100" s="420"/>
      <c r="AB100" s="420"/>
      <c r="AC100" s="420"/>
      <c r="AD100" s="432"/>
      <c r="AE100" s="388"/>
      <c r="AF100" s="388"/>
      <c r="AG100" s="388"/>
      <c r="AH100" s="388"/>
      <c r="AI100" s="388"/>
      <c r="AJ100" s="388"/>
      <c r="AK100" s="388"/>
      <c r="AL100" s="388"/>
      <c r="AM100" s="388"/>
      <c r="AN100" s="388"/>
      <c r="AO100" s="388"/>
      <c r="AP100" s="388"/>
      <c r="AQ100" s="388"/>
      <c r="AR100" s="388"/>
      <c r="AS100" s="388"/>
      <c r="AT100" s="388"/>
      <c r="AU100" s="388"/>
      <c r="AV100" s="388"/>
    </row>
    <row r="101" spans="1:136" ht="15.75" thickBot="1" x14ac:dyDescent="0.3">
      <c r="B101" s="521"/>
      <c r="C101" s="522"/>
      <c r="D101" s="522"/>
      <c r="E101" s="522"/>
      <c r="F101" s="522"/>
      <c r="G101" s="522"/>
      <c r="H101" s="522"/>
      <c r="I101" s="522"/>
      <c r="J101" s="522"/>
      <c r="K101" s="522"/>
      <c r="L101" s="523"/>
      <c r="N101" s="521"/>
      <c r="O101" s="522"/>
      <c r="P101" s="522"/>
      <c r="Q101" s="522"/>
      <c r="R101" s="522"/>
      <c r="S101" s="522"/>
      <c r="T101" s="522"/>
      <c r="U101" s="522"/>
      <c r="V101" s="522"/>
      <c r="W101" s="522"/>
      <c r="X101" s="522"/>
      <c r="Y101" s="522"/>
      <c r="Z101" s="522"/>
      <c r="AA101" s="522"/>
      <c r="AB101" s="522"/>
      <c r="AC101" s="522"/>
      <c r="AD101" s="523"/>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c r="CR101" s="388"/>
      <c r="CS101" s="388"/>
      <c r="CT101" s="388"/>
      <c r="CU101" s="388"/>
      <c r="CV101" s="388"/>
      <c r="CW101" s="388"/>
      <c r="CX101" s="388"/>
      <c r="CY101" s="388"/>
      <c r="CZ101" s="388"/>
      <c r="DA101" s="388"/>
      <c r="DB101" s="388"/>
      <c r="DC101" s="388"/>
      <c r="DD101" s="388"/>
      <c r="DE101" s="388"/>
      <c r="DF101" s="388"/>
      <c r="DG101" s="388"/>
      <c r="DH101" s="388"/>
      <c r="DI101" s="388"/>
      <c r="DJ101" s="388"/>
      <c r="DK101" s="388"/>
      <c r="DL101" s="388"/>
      <c r="DM101" s="388"/>
      <c r="DN101" s="388"/>
      <c r="DO101" s="388"/>
      <c r="DP101" s="388"/>
      <c r="DQ101" s="388"/>
      <c r="DR101" s="388"/>
      <c r="DS101" s="388"/>
      <c r="DT101" s="388"/>
      <c r="DU101" s="388"/>
      <c r="DV101" s="388"/>
      <c r="DW101" s="388"/>
      <c r="DX101" s="388"/>
      <c r="DY101" s="388"/>
      <c r="DZ101" s="388"/>
      <c r="EA101" s="388"/>
      <c r="EB101" s="388"/>
      <c r="EC101" s="388"/>
      <c r="ED101" s="388"/>
      <c r="EE101" s="388"/>
      <c r="EF101" s="388"/>
    </row>
    <row r="102" spans="1:136" ht="30" customHeight="1" thickBot="1" x14ac:dyDescent="0.3">
      <c r="A102" s="388"/>
      <c r="B102" s="499" t="s">
        <v>512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1"/>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2"/>
      <c r="BY102" s="342"/>
      <c r="BZ102" s="342"/>
      <c r="CA102" s="342"/>
      <c r="CB102" s="342"/>
      <c r="CC102" s="342"/>
      <c r="CD102" s="342"/>
      <c r="CE102" s="342"/>
      <c r="CF102" s="342"/>
      <c r="CG102" s="342"/>
      <c r="CH102" s="342"/>
      <c r="CI102" s="342"/>
      <c r="CJ102" s="342"/>
      <c r="CK102" s="342"/>
      <c r="CL102" s="342"/>
      <c r="CM102" s="342"/>
      <c r="CN102" s="342"/>
      <c r="CO102" s="342"/>
      <c r="CP102" s="342"/>
      <c r="CQ102" s="342"/>
      <c r="CR102" s="342"/>
      <c r="CS102" s="342"/>
      <c r="CT102" s="342"/>
      <c r="CU102" s="342"/>
      <c r="CV102" s="342"/>
      <c r="CW102" s="342"/>
      <c r="CX102" s="342"/>
      <c r="CY102" s="342"/>
      <c r="CZ102" s="342"/>
      <c r="DA102" s="342"/>
      <c r="DB102" s="342"/>
      <c r="DC102" s="342"/>
      <c r="DD102" s="342"/>
      <c r="DE102" s="342"/>
      <c r="DF102" s="342"/>
      <c r="DG102" s="342"/>
      <c r="DH102" s="342"/>
      <c r="DI102" s="342"/>
      <c r="DJ102" s="342"/>
      <c r="DK102" s="342"/>
      <c r="DL102" s="342"/>
      <c r="DM102" s="342"/>
      <c r="DN102" s="342"/>
      <c r="DO102" s="342"/>
      <c r="DP102" s="342"/>
      <c r="DQ102" s="342"/>
      <c r="DR102" s="342"/>
      <c r="DS102" s="342"/>
      <c r="DT102" s="342"/>
      <c r="DU102" s="342"/>
      <c r="DV102" s="342"/>
      <c r="DW102" s="342"/>
      <c r="DX102" s="342"/>
      <c r="DY102" s="342"/>
      <c r="DZ102" s="342"/>
      <c r="EA102" s="342"/>
      <c r="EB102" s="342"/>
      <c r="EC102" s="342"/>
      <c r="ED102" s="342"/>
      <c r="EE102" s="342"/>
      <c r="EF102" s="342"/>
    </row>
    <row r="103" spans="1:136" outlineLevel="1" x14ac:dyDescent="0.25">
      <c r="B103" s="412"/>
      <c r="C103" s="413"/>
      <c r="D103" s="413"/>
      <c r="E103" s="413"/>
      <c r="F103" s="413"/>
      <c r="G103" s="413"/>
      <c r="H103" s="413"/>
      <c r="I103" s="413"/>
      <c r="J103" s="413"/>
      <c r="K103" s="413"/>
      <c r="L103" s="414"/>
      <c r="N103" s="412"/>
      <c r="O103" s="413"/>
      <c r="P103" s="413"/>
      <c r="Q103" s="413"/>
      <c r="R103" s="413"/>
      <c r="S103" s="413"/>
      <c r="T103" s="413"/>
      <c r="U103" s="413"/>
      <c r="V103" s="413"/>
      <c r="W103" s="413"/>
      <c r="X103" s="413"/>
      <c r="Y103" s="413"/>
      <c r="Z103" s="413"/>
      <c r="AA103" s="413"/>
      <c r="AB103" s="413"/>
      <c r="AC103" s="413"/>
      <c r="AD103" s="414"/>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88"/>
      <c r="CE103" s="388"/>
      <c r="CF103" s="388"/>
      <c r="CG103" s="388"/>
      <c r="CH103" s="388"/>
      <c r="CI103" s="388"/>
      <c r="CJ103" s="388"/>
      <c r="CK103" s="388"/>
      <c r="CL103" s="388"/>
      <c r="CM103" s="388"/>
      <c r="CN103" s="388"/>
      <c r="CO103" s="388"/>
      <c r="CP103" s="388"/>
      <c r="CQ103" s="388"/>
      <c r="CR103" s="388"/>
      <c r="CS103" s="388"/>
      <c r="CT103" s="388"/>
      <c r="CU103" s="388"/>
      <c r="CV103" s="388"/>
      <c r="CW103" s="388"/>
      <c r="CX103" s="388"/>
      <c r="CY103" s="388"/>
      <c r="CZ103" s="388"/>
      <c r="DA103" s="388"/>
      <c r="DB103" s="388"/>
      <c r="DC103" s="388"/>
      <c r="DD103" s="388"/>
      <c r="DE103" s="388"/>
      <c r="DF103" s="388"/>
      <c r="DG103" s="388"/>
      <c r="DH103" s="388"/>
      <c r="DI103" s="388"/>
      <c r="DJ103" s="388"/>
      <c r="DK103" s="388"/>
      <c r="DL103" s="388"/>
      <c r="DM103" s="388"/>
      <c r="DN103" s="388"/>
      <c r="DO103" s="388"/>
      <c r="DP103" s="388"/>
      <c r="DQ103" s="388"/>
      <c r="DR103" s="388"/>
      <c r="DS103" s="388"/>
      <c r="DT103" s="388"/>
      <c r="DU103" s="388"/>
      <c r="DV103" s="388"/>
      <c r="DW103" s="388"/>
      <c r="DX103" s="388"/>
      <c r="DY103" s="388"/>
      <c r="DZ103" s="388"/>
      <c r="EA103" s="388"/>
      <c r="EB103" s="388"/>
      <c r="EC103" s="388"/>
      <c r="ED103" s="388"/>
      <c r="EE103" s="388"/>
      <c r="EF103" s="388"/>
    </row>
    <row r="104" spans="1:136" ht="15" customHeight="1" outlineLevel="1" x14ac:dyDescent="0.25">
      <c r="B104" s="415" t="s">
        <v>516</v>
      </c>
      <c r="C104" s="416"/>
      <c r="D104" s="416"/>
      <c r="E104" s="416"/>
      <c r="F104" s="416"/>
      <c r="G104" s="416"/>
      <c r="H104" s="416"/>
      <c r="I104" s="416"/>
      <c r="J104" s="416"/>
      <c r="K104" s="416"/>
      <c r="L104" s="417"/>
      <c r="M104" s="342"/>
      <c r="N104" s="418" t="s">
        <v>519</v>
      </c>
      <c r="O104" s="289"/>
      <c r="P104" s="289"/>
      <c r="Q104" s="289"/>
      <c r="R104" s="289"/>
      <c r="S104" s="289"/>
      <c r="T104" s="289"/>
      <c r="U104" s="289"/>
      <c r="V104" s="289"/>
      <c r="W104" s="289"/>
      <c r="X104" s="289"/>
      <c r="Y104" s="289"/>
      <c r="Z104" s="289"/>
      <c r="AA104" s="289"/>
      <c r="AB104" s="289"/>
      <c r="AC104" s="289"/>
      <c r="AD104" s="419"/>
      <c r="AE104" s="342"/>
      <c r="AF104" s="342"/>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c r="CR104" s="388"/>
      <c r="CS104" s="388"/>
      <c r="CT104" s="388"/>
      <c r="CU104" s="388"/>
      <c r="CV104" s="388"/>
      <c r="CW104" s="388"/>
      <c r="CX104" s="388"/>
      <c r="CY104" s="388"/>
      <c r="CZ104" s="388"/>
      <c r="DA104" s="388"/>
      <c r="DB104" s="388"/>
      <c r="DC104" s="388"/>
      <c r="DD104" s="388"/>
      <c r="DE104" s="388"/>
      <c r="DF104" s="388"/>
      <c r="DG104" s="388"/>
      <c r="DH104" s="388"/>
      <c r="DI104" s="388"/>
      <c r="DJ104" s="388"/>
      <c r="DK104" s="388"/>
      <c r="DL104" s="388"/>
      <c r="DM104" s="388"/>
      <c r="DN104" s="388"/>
      <c r="DO104" s="388"/>
      <c r="DP104" s="388"/>
    </row>
    <row r="105" spans="1:136" ht="45" customHeight="1" outlineLevel="1" x14ac:dyDescent="0.25">
      <c r="B105" s="471"/>
      <c r="C105" s="425"/>
      <c r="D105" s="425"/>
      <c r="E105" s="425"/>
      <c r="F105" s="425"/>
      <c r="G105" s="524" t="s">
        <v>610</v>
      </c>
      <c r="H105" s="525"/>
      <c r="I105" s="422" t="s">
        <v>617</v>
      </c>
      <c r="J105" s="447"/>
      <c r="K105" s="447"/>
      <c r="L105" s="401"/>
      <c r="M105" s="342"/>
      <c r="N105" s="269" t="s">
        <v>601</v>
      </c>
      <c r="O105" s="270"/>
      <c r="P105" s="425"/>
      <c r="Q105" s="425"/>
      <c r="R105" s="425"/>
      <c r="S105" s="425"/>
      <c r="T105" s="425"/>
      <c r="U105" s="434"/>
      <c r="V105" s="434"/>
      <c r="W105" s="420"/>
      <c r="X105" s="420"/>
      <c r="Y105" s="420"/>
      <c r="Z105" s="420"/>
      <c r="AA105" s="420"/>
      <c r="AB105" s="420"/>
      <c r="AC105" s="422" t="s">
        <v>607</v>
      </c>
      <c r="AD105" s="401"/>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c r="CR105" s="388"/>
      <c r="CS105" s="388"/>
      <c r="CT105" s="388"/>
      <c r="CU105" s="388"/>
      <c r="CV105" s="388"/>
      <c r="CW105" s="388"/>
      <c r="CX105" s="388"/>
      <c r="CY105" s="388"/>
      <c r="CZ105" s="388"/>
      <c r="DA105" s="388"/>
      <c r="DB105" s="388"/>
      <c r="DC105" s="388"/>
      <c r="DD105" s="388"/>
      <c r="DE105" s="388"/>
      <c r="DF105" s="388"/>
      <c r="DG105" s="388"/>
      <c r="DH105" s="388"/>
      <c r="DI105" s="388"/>
      <c r="DJ105" s="388"/>
      <c r="DK105" s="388"/>
      <c r="DL105" s="388"/>
      <c r="DM105" s="388"/>
      <c r="DN105" s="388"/>
      <c r="DO105" s="388"/>
      <c r="DP105" s="388"/>
    </row>
    <row r="106" spans="1:136" outlineLevel="1" x14ac:dyDescent="0.25">
      <c r="B106" s="471"/>
      <c r="C106" s="425"/>
      <c r="D106" s="425"/>
      <c r="E106" s="425"/>
      <c r="F106" s="425"/>
      <c r="G106" s="302">
        <f>$G$16+$K$31</f>
        <v>0</v>
      </c>
      <c r="H106" s="427" t="s">
        <v>1</v>
      </c>
      <c r="I106" s="436"/>
      <c r="J106" s="449" t="s">
        <v>2</v>
      </c>
      <c r="K106" s="302">
        <f>G106*I106/100</f>
        <v>0</v>
      </c>
      <c r="L106" s="428" t="s">
        <v>1</v>
      </c>
      <c r="M106" s="342"/>
      <c r="N106" s="437">
        <f>GENERALITES!$M$63</f>
        <v>350</v>
      </c>
      <c r="O106" s="427" t="s">
        <v>0</v>
      </c>
      <c r="P106" s="425"/>
      <c r="Q106" s="425"/>
      <c r="R106" s="425"/>
      <c r="S106" s="425"/>
      <c r="T106" s="425"/>
      <c r="U106" s="434"/>
      <c r="V106" s="434"/>
      <c r="W106" s="420"/>
      <c r="X106" s="420"/>
      <c r="Y106" s="420"/>
      <c r="Z106" s="420"/>
      <c r="AA106" s="420"/>
      <c r="AB106" s="420"/>
      <c r="AC106" s="302">
        <f>K106*N106</f>
        <v>0</v>
      </c>
      <c r="AD106" s="428" t="s">
        <v>6</v>
      </c>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388"/>
      <c r="DL106" s="388"/>
      <c r="DM106" s="388"/>
      <c r="DN106" s="388"/>
      <c r="DO106" s="388"/>
      <c r="DP106" s="388"/>
    </row>
    <row r="107" spans="1:136" ht="15.75" thickBot="1" x14ac:dyDescent="0.3">
      <c r="B107" s="521"/>
      <c r="C107" s="522"/>
      <c r="D107" s="522"/>
      <c r="E107" s="522"/>
      <c r="F107" s="522"/>
      <c r="G107" s="522"/>
      <c r="H107" s="522"/>
      <c r="I107" s="522"/>
      <c r="J107" s="522"/>
      <c r="K107" s="522"/>
      <c r="L107" s="523"/>
      <c r="N107" s="521"/>
      <c r="O107" s="522"/>
      <c r="P107" s="522"/>
      <c r="Q107" s="522"/>
      <c r="R107" s="522"/>
      <c r="S107" s="522"/>
      <c r="T107" s="522"/>
      <c r="U107" s="522"/>
      <c r="V107" s="522"/>
      <c r="W107" s="522"/>
      <c r="X107" s="522"/>
      <c r="Y107" s="522"/>
      <c r="Z107" s="522"/>
      <c r="AA107" s="522"/>
      <c r="AB107" s="522"/>
      <c r="AC107" s="522"/>
      <c r="AD107" s="523"/>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388"/>
      <c r="DL107" s="388"/>
      <c r="DM107" s="388"/>
      <c r="DN107" s="388"/>
      <c r="DO107" s="388"/>
      <c r="DP107" s="388"/>
      <c r="DQ107" s="388"/>
      <c r="DR107" s="388"/>
      <c r="DS107" s="388"/>
      <c r="DT107" s="388"/>
      <c r="DU107" s="388"/>
      <c r="DV107" s="388"/>
      <c r="DW107" s="388"/>
      <c r="DX107" s="388"/>
      <c r="DY107" s="388"/>
      <c r="DZ107" s="388"/>
      <c r="EA107" s="388"/>
      <c r="EB107" s="388"/>
      <c r="EC107" s="388"/>
      <c r="ED107" s="388"/>
      <c r="EE107" s="388"/>
      <c r="EF107" s="388"/>
    </row>
    <row r="108" spans="1:136" ht="30" customHeight="1" thickBot="1" x14ac:dyDescent="0.3">
      <c r="A108" s="388"/>
      <c r="B108" s="499" t="s">
        <v>513</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1"/>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row>
    <row r="109" spans="1:136" outlineLevel="1" x14ac:dyDescent="0.25">
      <c r="B109" s="412"/>
      <c r="C109" s="413"/>
      <c r="D109" s="413"/>
      <c r="E109" s="413"/>
      <c r="F109" s="413"/>
      <c r="G109" s="413"/>
      <c r="H109" s="413"/>
      <c r="I109" s="413"/>
      <c r="J109" s="413"/>
      <c r="K109" s="413"/>
      <c r="L109" s="414"/>
      <c r="N109" s="412"/>
      <c r="O109" s="413"/>
      <c r="P109" s="413"/>
      <c r="Q109" s="413"/>
      <c r="R109" s="413"/>
      <c r="S109" s="413"/>
      <c r="T109" s="413"/>
      <c r="U109" s="413"/>
      <c r="V109" s="413"/>
      <c r="W109" s="413"/>
      <c r="X109" s="413"/>
      <c r="Y109" s="413"/>
      <c r="Z109" s="413"/>
      <c r="AA109" s="413"/>
      <c r="AB109" s="413"/>
      <c r="AC109" s="413"/>
      <c r="AD109" s="414"/>
      <c r="AF109" s="412"/>
      <c r="AG109" s="413"/>
      <c r="AH109" s="413"/>
      <c r="AI109" s="413"/>
      <c r="AJ109" s="413"/>
      <c r="AK109" s="413"/>
      <c r="AL109" s="413"/>
      <c r="AM109" s="413"/>
      <c r="AN109" s="413"/>
      <c r="AO109" s="413"/>
      <c r="AP109" s="413"/>
      <c r="AQ109" s="413"/>
      <c r="AR109" s="413"/>
      <c r="AS109" s="413"/>
      <c r="AT109" s="413"/>
      <c r="AU109" s="413"/>
      <c r="AV109" s="414"/>
    </row>
    <row r="110" spans="1:136" ht="15" customHeight="1" outlineLevel="1" x14ac:dyDescent="0.25">
      <c r="B110" s="415" t="s">
        <v>113</v>
      </c>
      <c r="C110" s="416"/>
      <c r="D110" s="416"/>
      <c r="E110" s="416"/>
      <c r="F110" s="416"/>
      <c r="G110" s="416"/>
      <c r="H110" s="416"/>
      <c r="I110" s="416"/>
      <c r="J110" s="416"/>
      <c r="K110" s="416"/>
      <c r="L110" s="417"/>
      <c r="M110" s="433"/>
      <c r="N110" s="418" t="s">
        <v>520</v>
      </c>
      <c r="O110" s="289"/>
      <c r="P110" s="289"/>
      <c r="Q110" s="289"/>
      <c r="R110" s="289"/>
      <c r="S110" s="289"/>
      <c r="T110" s="289"/>
      <c r="U110" s="289"/>
      <c r="V110" s="289"/>
      <c r="W110" s="289"/>
      <c r="X110" s="289"/>
      <c r="Y110" s="289"/>
      <c r="Z110" s="289"/>
      <c r="AA110" s="289"/>
      <c r="AB110" s="289"/>
      <c r="AC110" s="289"/>
      <c r="AD110" s="419"/>
      <c r="AE110" s="388"/>
      <c r="AF110" s="418" t="s">
        <v>52</v>
      </c>
      <c r="AG110" s="289"/>
      <c r="AH110" s="289"/>
      <c r="AI110" s="289"/>
      <c r="AJ110" s="289"/>
      <c r="AK110" s="289"/>
      <c r="AL110" s="289"/>
      <c r="AM110" s="289"/>
      <c r="AN110" s="289"/>
      <c r="AO110" s="289"/>
      <c r="AP110" s="289"/>
      <c r="AQ110" s="289"/>
      <c r="AR110" s="289"/>
      <c r="AS110" s="289"/>
      <c r="AT110" s="289"/>
      <c r="AU110" s="289"/>
      <c r="AV110" s="419"/>
      <c r="AX110" s="342"/>
      <c r="AY110" s="342"/>
      <c r="AZ110" s="342"/>
      <c r="BA110" s="342"/>
      <c r="BB110" s="342"/>
      <c r="BC110" s="342"/>
      <c r="BD110" s="342"/>
      <c r="BE110" s="342"/>
      <c r="BF110" s="342"/>
      <c r="BG110" s="342"/>
      <c r="BH110" s="342"/>
      <c r="BI110" s="342"/>
      <c r="BJ110" s="342"/>
    </row>
    <row r="111" spans="1:136" ht="45" customHeight="1" outlineLevel="1" x14ac:dyDescent="0.25">
      <c r="B111" s="421" t="s">
        <v>15</v>
      </c>
      <c r="C111" s="425"/>
      <c r="D111" s="425"/>
      <c r="E111" s="425"/>
      <c r="F111" s="425"/>
      <c r="G111" s="524" t="s">
        <v>610</v>
      </c>
      <c r="H111" s="525"/>
      <c r="I111" s="422" t="s">
        <v>621</v>
      </c>
      <c r="J111" s="447"/>
      <c r="K111" s="447"/>
      <c r="L111" s="401"/>
      <c r="M111" s="342"/>
      <c r="N111" s="269" t="s">
        <v>517</v>
      </c>
      <c r="O111" s="270"/>
      <c r="P111" s="425"/>
      <c r="Q111" s="425"/>
      <c r="R111" s="425"/>
      <c r="S111" s="425"/>
      <c r="T111" s="425"/>
      <c r="U111" s="425"/>
      <c r="V111" s="425"/>
      <c r="W111" s="425"/>
      <c r="X111" s="425"/>
      <c r="Y111" s="425"/>
      <c r="Z111" s="425"/>
      <c r="AA111" s="425"/>
      <c r="AB111" s="425"/>
      <c r="AC111" s="422" t="s">
        <v>524</v>
      </c>
      <c r="AD111" s="401"/>
      <c r="AE111" s="388"/>
      <c r="AF111" s="269" t="s">
        <v>52</v>
      </c>
      <c r="AG111" s="270"/>
      <c r="AH111" s="420"/>
      <c r="AI111" s="420"/>
      <c r="AJ111" s="420"/>
      <c r="AK111" s="420"/>
      <c r="AL111" s="420"/>
      <c r="AM111" s="420"/>
      <c r="AN111" s="420"/>
      <c r="AO111" s="420"/>
      <c r="AP111" s="420"/>
      <c r="AQ111" s="420"/>
      <c r="AR111" s="420"/>
      <c r="AS111" s="420"/>
      <c r="AT111" s="420"/>
      <c r="AU111" s="422" t="s">
        <v>419</v>
      </c>
      <c r="AV111" s="401"/>
      <c r="AX111" s="342"/>
      <c r="AY111" s="342"/>
      <c r="AZ111" s="342"/>
      <c r="BA111" s="342"/>
      <c r="BB111" s="342"/>
      <c r="BC111" s="342"/>
      <c r="BD111" s="342"/>
      <c r="BE111" s="342"/>
      <c r="BF111" s="342"/>
      <c r="BG111" s="342"/>
      <c r="BH111" s="342"/>
      <c r="BI111" s="342"/>
      <c r="BJ111" s="342"/>
    </row>
    <row r="112" spans="1:136" outlineLevel="1" x14ac:dyDescent="0.25">
      <c r="B112" s="426"/>
      <c r="C112" s="425"/>
      <c r="D112" s="425"/>
      <c r="E112" s="425"/>
      <c r="F112" s="425"/>
      <c r="G112" s="302">
        <f>$G$16+$K$31</f>
        <v>0</v>
      </c>
      <c r="H112" s="427" t="s">
        <v>1</v>
      </c>
      <c r="I112" s="302">
        <f>SUM(I114:I117)</f>
        <v>0</v>
      </c>
      <c r="J112" s="449" t="s">
        <v>2</v>
      </c>
      <c r="K112" s="302">
        <f>SUM(K114:K117)</f>
        <v>0</v>
      </c>
      <c r="L112" s="428" t="s">
        <v>1</v>
      </c>
      <c r="M112" s="342"/>
      <c r="N112" s="450"/>
      <c r="O112" s="427" t="s">
        <v>0</v>
      </c>
      <c r="P112" s="425"/>
      <c r="Q112" s="425"/>
      <c r="R112" s="425"/>
      <c r="S112" s="425"/>
      <c r="T112" s="425"/>
      <c r="U112" s="425"/>
      <c r="V112" s="425"/>
      <c r="W112" s="425"/>
      <c r="X112" s="425"/>
      <c r="Y112" s="425"/>
      <c r="Z112" s="425"/>
      <c r="AA112" s="425"/>
      <c r="AB112" s="425"/>
      <c r="AC112" s="302">
        <f>SUMPRODUCT('ETAPE 5'!K114:K117,'ETAPE 5'!N114:N117)</f>
        <v>0</v>
      </c>
      <c r="AD112" s="428" t="s">
        <v>6</v>
      </c>
      <c r="AE112" s="388"/>
      <c r="AF112" s="429"/>
      <c r="AG112" s="430" t="s">
        <v>20</v>
      </c>
      <c r="AH112" s="420"/>
      <c r="AI112" s="420"/>
      <c r="AJ112" s="420"/>
      <c r="AK112" s="420"/>
      <c r="AL112" s="420"/>
      <c r="AM112" s="420"/>
      <c r="AN112" s="420"/>
      <c r="AO112" s="420"/>
      <c r="AP112" s="420"/>
      <c r="AQ112" s="420"/>
      <c r="AR112" s="420"/>
      <c r="AS112" s="420"/>
      <c r="AT112" s="420"/>
      <c r="AU112" s="302">
        <f>SUMPRODUCT('ETAPE 5'!K114:K117,'ETAPE 5'!AF114:AF117)</f>
        <v>0</v>
      </c>
      <c r="AV112" s="428" t="s">
        <v>21</v>
      </c>
      <c r="AX112" s="342"/>
      <c r="AY112" s="342"/>
      <c r="AZ112" s="342"/>
      <c r="BA112" s="342"/>
      <c r="BB112" s="342"/>
      <c r="BC112" s="342"/>
      <c r="BD112" s="342"/>
      <c r="BE112" s="342"/>
      <c r="BF112" s="342"/>
      <c r="BG112" s="342"/>
      <c r="BH112" s="342"/>
      <c r="BI112" s="342"/>
      <c r="BJ112" s="342"/>
    </row>
    <row r="113" spans="1:136" ht="6.75" customHeight="1" outlineLevel="1" x14ac:dyDescent="0.25">
      <c r="A113" s="388"/>
      <c r="B113" s="431"/>
      <c r="C113" s="425"/>
      <c r="D113" s="425"/>
      <c r="E113" s="425"/>
      <c r="F113" s="425"/>
      <c r="G113" s="425"/>
      <c r="H113" s="425"/>
      <c r="I113" s="433"/>
      <c r="J113" s="433"/>
      <c r="K113" s="420"/>
      <c r="L113" s="432"/>
      <c r="M113" s="342"/>
      <c r="N113" s="431"/>
      <c r="O113" s="420"/>
      <c r="P113" s="420"/>
      <c r="Q113" s="420"/>
      <c r="R113" s="420"/>
      <c r="S113" s="420"/>
      <c r="T113" s="420"/>
      <c r="U113" s="420"/>
      <c r="V113" s="420"/>
      <c r="W113" s="420"/>
      <c r="X113" s="420"/>
      <c r="Y113" s="420"/>
      <c r="Z113" s="420"/>
      <c r="AA113" s="420"/>
      <c r="AB113" s="420"/>
      <c r="AC113" s="420"/>
      <c r="AD113" s="432"/>
      <c r="AE113" s="388"/>
      <c r="AF113" s="431"/>
      <c r="AG113" s="420"/>
      <c r="AH113" s="420"/>
      <c r="AI113" s="420"/>
      <c r="AJ113" s="420"/>
      <c r="AK113" s="420"/>
      <c r="AL113" s="420"/>
      <c r="AM113" s="420"/>
      <c r="AN113" s="420"/>
      <c r="AO113" s="420"/>
      <c r="AP113" s="420"/>
      <c r="AQ113" s="420"/>
      <c r="AR113" s="420"/>
      <c r="AS113" s="420"/>
      <c r="AT113" s="420"/>
      <c r="AU113" s="420"/>
      <c r="AV113" s="43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2"/>
      <c r="BY113" s="342"/>
      <c r="BZ113" s="342"/>
      <c r="CA113" s="342"/>
      <c r="CB113" s="342"/>
      <c r="CC113" s="342"/>
      <c r="CD113" s="342"/>
      <c r="CE113" s="342"/>
      <c r="CF113" s="342"/>
      <c r="CG113" s="342"/>
      <c r="CH113" s="342"/>
      <c r="CI113" s="342"/>
      <c r="CJ113" s="342"/>
      <c r="CK113" s="342"/>
      <c r="CL113" s="342"/>
      <c r="CM113" s="342"/>
      <c r="CN113" s="342"/>
      <c r="CO113" s="342"/>
      <c r="CP113" s="342"/>
      <c r="CQ113" s="342"/>
      <c r="CR113" s="342"/>
      <c r="CS113" s="342"/>
      <c r="CT113" s="342"/>
      <c r="CU113" s="342"/>
      <c r="CV113" s="342"/>
      <c r="CW113" s="342"/>
      <c r="CX113" s="342"/>
      <c r="CY113" s="342"/>
      <c r="CZ113" s="342"/>
      <c r="DA113" s="342"/>
      <c r="DB113" s="342"/>
      <c r="DC113" s="342"/>
      <c r="DD113" s="342"/>
      <c r="DE113" s="342"/>
      <c r="DF113" s="342"/>
      <c r="DG113" s="342"/>
      <c r="DH113" s="342"/>
      <c r="DI113" s="342"/>
      <c r="DJ113" s="342"/>
      <c r="DK113" s="342"/>
      <c r="DL113" s="342"/>
      <c r="DM113" s="342"/>
      <c r="DN113" s="342"/>
      <c r="DO113" s="342"/>
      <c r="DP113" s="342"/>
      <c r="DQ113" s="342"/>
      <c r="DR113" s="342"/>
      <c r="DS113" s="342"/>
      <c r="DT113" s="342"/>
      <c r="DU113" s="342"/>
      <c r="DV113" s="342"/>
      <c r="DW113" s="342"/>
      <c r="DX113" s="342"/>
      <c r="DY113" s="342"/>
      <c r="DZ113" s="342"/>
      <c r="EA113" s="342"/>
      <c r="EB113" s="342"/>
      <c r="EC113" s="342"/>
      <c r="ED113" s="342"/>
      <c r="EE113" s="342"/>
      <c r="EF113" s="342"/>
    </row>
    <row r="114" spans="1:136" outlineLevel="1" x14ac:dyDescent="0.25">
      <c r="B114" s="435"/>
      <c r="C114" s="425"/>
      <c r="D114" s="425"/>
      <c r="E114" s="425"/>
      <c r="F114" s="425"/>
      <c r="G114" s="425"/>
      <c r="H114" s="425"/>
      <c r="I114" s="436"/>
      <c r="J114" s="449" t="s">
        <v>2</v>
      </c>
      <c r="K114" s="302">
        <f>I114/100*$G$112</f>
        <v>0</v>
      </c>
      <c r="L114" s="428" t="s">
        <v>1</v>
      </c>
      <c r="M114" s="342"/>
      <c r="N114" s="437" t="str">
        <f>IF(B114&lt;&gt;0,VLOOKUP(B114,GENERALITES!$B$68:$D$71,3,FALSE),"")</f>
        <v/>
      </c>
      <c r="O114" s="427" t="s">
        <v>0</v>
      </c>
      <c r="P114" s="438"/>
      <c r="Q114" s="438"/>
      <c r="R114" s="438"/>
      <c r="S114" s="438"/>
      <c r="T114" s="438"/>
      <c r="U114" s="438"/>
      <c r="V114" s="438"/>
      <c r="W114" s="438"/>
      <c r="X114" s="438"/>
      <c r="Y114" s="438"/>
      <c r="Z114" s="438"/>
      <c r="AA114" s="438"/>
      <c r="AB114" s="438"/>
      <c r="AC114" s="420"/>
      <c r="AD114" s="432"/>
      <c r="AE114" s="388"/>
      <c r="AF114" s="437" t="str">
        <f>IF(B114&lt;&gt;0,VLOOKUP(B114,GENERALITES!$B$68:$N$71,12,FALSE),"")</f>
        <v/>
      </c>
      <c r="AG114" s="427" t="s">
        <v>20</v>
      </c>
      <c r="AH114" s="420"/>
      <c r="AI114" s="420"/>
      <c r="AJ114" s="420"/>
      <c r="AK114" s="420"/>
      <c r="AL114" s="420"/>
      <c r="AM114" s="420"/>
      <c r="AN114" s="420"/>
      <c r="AO114" s="420"/>
      <c r="AP114" s="420"/>
      <c r="AQ114" s="420"/>
      <c r="AR114" s="420"/>
      <c r="AS114" s="420"/>
      <c r="AT114" s="420"/>
      <c r="AU114" s="420"/>
      <c r="AV114" s="432"/>
    </row>
    <row r="115" spans="1:136" outlineLevel="1" x14ac:dyDescent="0.25">
      <c r="B115" s="435"/>
      <c r="C115" s="425"/>
      <c r="D115" s="425"/>
      <c r="E115" s="425"/>
      <c r="F115" s="425"/>
      <c r="G115" s="425"/>
      <c r="H115" s="425"/>
      <c r="I115" s="436"/>
      <c r="J115" s="449" t="s">
        <v>2</v>
      </c>
      <c r="K115" s="302">
        <f>I115/100*$G$112</f>
        <v>0</v>
      </c>
      <c r="L115" s="428" t="s">
        <v>1</v>
      </c>
      <c r="M115" s="342"/>
      <c r="N115" s="437" t="str">
        <f>IF(B115&lt;&gt;0,VLOOKUP(B115,GENERALITES!$B$68:$D$71,3,FALSE),"")</f>
        <v/>
      </c>
      <c r="O115" s="427" t="s">
        <v>0</v>
      </c>
      <c r="P115" s="438"/>
      <c r="Q115" s="438"/>
      <c r="R115" s="438"/>
      <c r="S115" s="438"/>
      <c r="T115" s="438"/>
      <c r="U115" s="438"/>
      <c r="V115" s="438"/>
      <c r="W115" s="438"/>
      <c r="X115" s="438"/>
      <c r="Y115" s="438"/>
      <c r="Z115" s="438"/>
      <c r="AA115" s="438"/>
      <c r="AB115" s="438"/>
      <c r="AC115" s="420"/>
      <c r="AD115" s="432"/>
      <c r="AE115" s="388"/>
      <c r="AF115" s="437" t="str">
        <f>IF(B115&lt;&gt;0,VLOOKUP(B115,GENERALITES!$B$68:$N$71,12,FALSE),"")</f>
        <v/>
      </c>
      <c r="AG115" s="427" t="s">
        <v>20</v>
      </c>
      <c r="AH115" s="420"/>
      <c r="AI115" s="420"/>
      <c r="AJ115" s="420"/>
      <c r="AK115" s="420"/>
      <c r="AL115" s="420"/>
      <c r="AM115" s="420"/>
      <c r="AN115" s="420"/>
      <c r="AO115" s="420"/>
      <c r="AP115" s="420"/>
      <c r="AQ115" s="420"/>
      <c r="AR115" s="420"/>
      <c r="AS115" s="420"/>
      <c r="AT115" s="420"/>
      <c r="AU115" s="420"/>
      <c r="AV115" s="432"/>
    </row>
    <row r="116" spans="1:136" outlineLevel="1" x14ac:dyDescent="0.25">
      <c r="B116" s="435"/>
      <c r="C116" s="425"/>
      <c r="D116" s="425"/>
      <c r="E116" s="425"/>
      <c r="F116" s="425"/>
      <c r="G116" s="425"/>
      <c r="H116" s="425"/>
      <c r="I116" s="436"/>
      <c r="J116" s="449" t="s">
        <v>2</v>
      </c>
      <c r="K116" s="302">
        <f>I116/100*$G$112</f>
        <v>0</v>
      </c>
      <c r="L116" s="428" t="s">
        <v>1</v>
      </c>
      <c r="M116" s="342"/>
      <c r="N116" s="437" t="str">
        <f>IF(B116&lt;&gt;0,VLOOKUP(B116,GENERALITES!$B$68:$D$71,3,FALSE),"")</f>
        <v/>
      </c>
      <c r="O116" s="427" t="s">
        <v>0</v>
      </c>
      <c r="P116" s="438"/>
      <c r="Q116" s="438"/>
      <c r="R116" s="438"/>
      <c r="S116" s="438"/>
      <c r="T116" s="438"/>
      <c r="U116" s="438"/>
      <c r="V116" s="438"/>
      <c r="W116" s="438"/>
      <c r="X116" s="438"/>
      <c r="Y116" s="438"/>
      <c r="Z116" s="438"/>
      <c r="AA116" s="438"/>
      <c r="AB116" s="438"/>
      <c r="AC116" s="420"/>
      <c r="AD116" s="432"/>
      <c r="AE116" s="388"/>
      <c r="AF116" s="437" t="str">
        <f>IF(B116&lt;&gt;0,VLOOKUP(B116,GENERALITES!$B$68:$N$71,12,FALSE),"")</f>
        <v/>
      </c>
      <c r="AG116" s="427" t="s">
        <v>20</v>
      </c>
      <c r="AH116" s="420"/>
      <c r="AI116" s="420"/>
      <c r="AJ116" s="420"/>
      <c r="AK116" s="420"/>
      <c r="AL116" s="420"/>
      <c r="AM116" s="420"/>
      <c r="AN116" s="420"/>
      <c r="AO116" s="420"/>
      <c r="AP116" s="420"/>
      <c r="AQ116" s="420"/>
      <c r="AR116" s="420"/>
      <c r="AS116" s="420"/>
      <c r="AT116" s="420"/>
      <c r="AU116" s="420"/>
      <c r="AV116" s="432"/>
    </row>
    <row r="117" spans="1:136" outlineLevel="1" x14ac:dyDescent="0.25">
      <c r="B117" s="435"/>
      <c r="C117" s="425"/>
      <c r="D117" s="425"/>
      <c r="E117" s="425"/>
      <c r="F117" s="425"/>
      <c r="G117" s="425"/>
      <c r="H117" s="425"/>
      <c r="I117" s="436"/>
      <c r="J117" s="449" t="s">
        <v>2</v>
      </c>
      <c r="K117" s="302">
        <f>I117/100*$G$112</f>
        <v>0</v>
      </c>
      <c r="L117" s="428" t="s">
        <v>1</v>
      </c>
      <c r="M117" s="342"/>
      <c r="N117" s="437" t="str">
        <f>IF(B117&lt;&gt;0,VLOOKUP(B117,GENERALITES!$B$68:$D$71,3,FALSE),"")</f>
        <v/>
      </c>
      <c r="O117" s="427" t="s">
        <v>0</v>
      </c>
      <c r="P117" s="438"/>
      <c r="Q117" s="438"/>
      <c r="R117" s="438"/>
      <c r="S117" s="438"/>
      <c r="T117" s="438"/>
      <c r="U117" s="438"/>
      <c r="V117" s="438"/>
      <c r="W117" s="438"/>
      <c r="X117" s="438"/>
      <c r="Y117" s="438"/>
      <c r="Z117" s="438"/>
      <c r="AA117" s="438"/>
      <c r="AB117" s="438"/>
      <c r="AC117" s="420"/>
      <c r="AD117" s="432"/>
      <c r="AE117" s="388"/>
      <c r="AF117" s="437" t="str">
        <f>IF(B117&lt;&gt;0,VLOOKUP(B117,GENERALITES!$B$68:$N$71,12,FALSE),"")</f>
        <v/>
      </c>
      <c r="AG117" s="427" t="s">
        <v>20</v>
      </c>
      <c r="AH117" s="420"/>
      <c r="AI117" s="420"/>
      <c r="AJ117" s="420"/>
      <c r="AK117" s="420"/>
      <c r="AL117" s="420"/>
      <c r="AM117" s="420"/>
      <c r="AN117" s="420"/>
      <c r="AO117" s="420"/>
      <c r="AP117" s="420"/>
      <c r="AQ117" s="420"/>
      <c r="AR117" s="420"/>
      <c r="AS117" s="420"/>
      <c r="AT117" s="420"/>
      <c r="AU117" s="420"/>
      <c r="AV117" s="432"/>
    </row>
    <row r="118" spans="1:136" ht="15.75" thickBot="1" x14ac:dyDescent="0.3">
      <c r="A118" s="440"/>
      <c r="B118" s="477"/>
      <c r="C118" s="478"/>
      <c r="D118" s="478"/>
      <c r="E118" s="478"/>
      <c r="F118" s="478"/>
      <c r="G118" s="478"/>
      <c r="H118" s="478"/>
      <c r="I118" s="478"/>
      <c r="J118" s="478"/>
      <c r="K118" s="478"/>
      <c r="L118" s="479"/>
      <c r="M118" s="440"/>
      <c r="N118" s="477"/>
      <c r="O118" s="478"/>
      <c r="P118" s="478"/>
      <c r="Q118" s="478"/>
      <c r="R118" s="478"/>
      <c r="S118" s="478"/>
      <c r="T118" s="478"/>
      <c r="U118" s="478"/>
      <c r="V118" s="478"/>
      <c r="W118" s="478"/>
      <c r="X118" s="478"/>
      <c r="Y118" s="478"/>
      <c r="Z118" s="478"/>
      <c r="AA118" s="478"/>
      <c r="AB118" s="478"/>
      <c r="AC118" s="478"/>
      <c r="AD118" s="479"/>
      <c r="AE118" s="440"/>
      <c r="AF118" s="444"/>
      <c r="AG118" s="445"/>
      <c r="AH118" s="445"/>
      <c r="AI118" s="445"/>
      <c r="AJ118" s="445"/>
      <c r="AK118" s="445"/>
      <c r="AL118" s="445"/>
      <c r="AM118" s="445"/>
      <c r="AN118" s="445"/>
      <c r="AO118" s="445"/>
      <c r="AP118" s="445"/>
      <c r="AQ118" s="445"/>
      <c r="AR118" s="445"/>
      <c r="AS118" s="445"/>
      <c r="AT118" s="445"/>
      <c r="AU118" s="445"/>
      <c r="AV118" s="446"/>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row>
    <row r="119" spans="1:136" ht="30" customHeight="1" thickBot="1" x14ac:dyDescent="0.3">
      <c r="A119" s="388"/>
      <c r="B119" s="499" t="s">
        <v>38</v>
      </c>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1"/>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42"/>
      <c r="BZ119" s="342"/>
      <c r="CA119" s="342"/>
      <c r="CB119" s="342"/>
      <c r="CC119" s="342"/>
      <c r="CD119" s="342"/>
      <c r="CE119" s="342"/>
      <c r="CF119" s="342"/>
      <c r="CG119" s="342"/>
      <c r="CH119" s="342"/>
      <c r="CI119" s="342"/>
      <c r="CJ119" s="342"/>
      <c r="CK119" s="342"/>
      <c r="CL119" s="342"/>
      <c r="CM119" s="342"/>
      <c r="CN119" s="342"/>
      <c r="CO119" s="342"/>
      <c r="CP119" s="342"/>
      <c r="CQ119" s="342"/>
      <c r="CR119" s="342"/>
      <c r="CS119" s="342"/>
      <c r="CT119" s="342"/>
      <c r="CU119" s="342"/>
      <c r="CV119" s="342"/>
      <c r="CW119" s="342"/>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2"/>
      <c r="DU119" s="342"/>
      <c r="DV119" s="342"/>
      <c r="DW119" s="342"/>
      <c r="DX119" s="342"/>
      <c r="DY119" s="342"/>
      <c r="DZ119" s="342"/>
      <c r="EA119" s="342"/>
      <c r="EB119" s="342"/>
      <c r="EC119" s="342"/>
      <c r="ED119" s="342"/>
      <c r="EE119" s="342"/>
      <c r="EF119" s="342"/>
    </row>
    <row r="120" spans="1:136" ht="15.75" outlineLevel="1" thickBot="1" x14ac:dyDescent="0.3"/>
    <row r="121" spans="1:136" ht="15" customHeight="1" outlineLevel="1" x14ac:dyDescent="0.25">
      <c r="B121" s="526" t="s">
        <v>58</v>
      </c>
      <c r="C121" s="527"/>
      <c r="D121" s="342"/>
      <c r="E121" s="399" t="s">
        <v>57</v>
      </c>
      <c r="F121" s="493"/>
      <c r="G121" s="493"/>
      <c r="H121" s="493"/>
      <c r="I121" s="493"/>
      <c r="J121" s="493"/>
      <c r="K121" s="493"/>
      <c r="L121" s="400"/>
      <c r="M121" s="433"/>
      <c r="N121" s="399" t="s">
        <v>61</v>
      </c>
      <c r="O121" s="493"/>
      <c r="P121" s="493"/>
      <c r="Q121" s="493"/>
      <c r="R121" s="493"/>
      <c r="S121" s="493"/>
      <c r="T121" s="493"/>
      <c r="U121" s="493"/>
      <c r="V121" s="493"/>
      <c r="W121" s="493"/>
      <c r="X121" s="493"/>
      <c r="Y121" s="493"/>
      <c r="Z121" s="493"/>
      <c r="AA121" s="493"/>
      <c r="AB121" s="493"/>
      <c r="AC121" s="493"/>
      <c r="AD121" s="400"/>
      <c r="AE121" s="420"/>
      <c r="AF121" s="399" t="s">
        <v>60</v>
      </c>
      <c r="AG121" s="493"/>
      <c r="AH121" s="493"/>
      <c r="AI121" s="493"/>
      <c r="AJ121" s="493"/>
      <c r="AK121" s="493"/>
      <c r="AL121" s="493"/>
      <c r="AM121" s="493"/>
      <c r="AN121" s="493"/>
      <c r="AO121" s="493"/>
      <c r="AP121" s="493"/>
      <c r="AQ121" s="493"/>
      <c r="AR121" s="493"/>
      <c r="AS121" s="493"/>
      <c r="AT121" s="493"/>
      <c r="AU121" s="493"/>
      <c r="AV121" s="400"/>
      <c r="AW121" s="342"/>
      <c r="AX121" s="342"/>
      <c r="AY121" s="342"/>
      <c r="AZ121" s="342"/>
      <c r="BA121" s="342"/>
      <c r="BB121" s="342"/>
      <c r="BC121" s="342"/>
      <c r="BD121" s="342"/>
      <c r="BE121" s="342"/>
      <c r="BF121" s="342"/>
      <c r="BG121" s="342"/>
      <c r="BH121" s="342"/>
      <c r="BI121" s="342"/>
    </row>
    <row r="122" spans="1:136" ht="43.5" customHeight="1" outlineLevel="1" x14ac:dyDescent="0.25">
      <c r="B122" s="528" t="s">
        <v>583</v>
      </c>
      <c r="C122" s="529"/>
      <c r="D122" s="342"/>
      <c r="E122" s="269" t="s">
        <v>584</v>
      </c>
      <c r="F122" s="270"/>
      <c r="G122" s="422" t="s">
        <v>55</v>
      </c>
      <c r="H122" s="270"/>
      <c r="I122" s="422" t="s">
        <v>558</v>
      </c>
      <c r="J122" s="270"/>
      <c r="K122" s="422" t="s">
        <v>59</v>
      </c>
      <c r="L122" s="401"/>
      <c r="M122" s="420"/>
      <c r="N122" s="471"/>
      <c r="O122" s="425"/>
      <c r="P122" s="422" t="s">
        <v>420</v>
      </c>
      <c r="Q122" s="270"/>
      <c r="R122" s="425"/>
      <c r="S122" s="425"/>
      <c r="T122" s="425"/>
      <c r="U122" s="422" t="s">
        <v>115</v>
      </c>
      <c r="V122" s="270"/>
      <c r="W122" s="425"/>
      <c r="X122" s="422" t="s">
        <v>499</v>
      </c>
      <c r="Y122" s="270"/>
      <c r="Z122" s="422" t="s">
        <v>500</v>
      </c>
      <c r="AA122" s="270"/>
      <c r="AB122" s="425"/>
      <c r="AC122" s="422" t="s">
        <v>421</v>
      </c>
      <c r="AD122" s="401"/>
      <c r="AE122" s="433"/>
      <c r="AF122" s="471"/>
      <c r="AG122" s="425"/>
      <c r="AH122" s="422" t="s">
        <v>422</v>
      </c>
      <c r="AI122" s="270"/>
      <c r="AJ122" s="425"/>
      <c r="AK122" s="425"/>
      <c r="AL122" s="425"/>
      <c r="AM122" s="422" t="s">
        <v>116</v>
      </c>
      <c r="AN122" s="270"/>
      <c r="AO122" s="425"/>
      <c r="AP122" s="422" t="s">
        <v>423</v>
      </c>
      <c r="AQ122" s="270"/>
      <c r="AR122" s="422" t="s">
        <v>424</v>
      </c>
      <c r="AS122" s="270"/>
      <c r="AT122" s="425"/>
      <c r="AU122" s="422" t="s">
        <v>425</v>
      </c>
      <c r="AV122" s="401"/>
      <c r="AW122" s="342"/>
      <c r="AX122" s="342"/>
      <c r="AY122" s="342"/>
      <c r="AZ122" s="342"/>
      <c r="BA122" s="342"/>
      <c r="BB122" s="342"/>
      <c r="BC122" s="342"/>
      <c r="BD122" s="342"/>
      <c r="BE122" s="342"/>
      <c r="BF122" s="342"/>
      <c r="BG122" s="342"/>
      <c r="BH122" s="342"/>
      <c r="BI122" s="342"/>
    </row>
    <row r="123" spans="1:136" ht="15.75" outlineLevel="1" thickBot="1" x14ac:dyDescent="0.3">
      <c r="B123" s="530">
        <f>C16</f>
        <v>0</v>
      </c>
      <c r="C123" s="446" t="s">
        <v>1</v>
      </c>
      <c r="D123" s="342"/>
      <c r="E123" s="408">
        <f>E16</f>
        <v>0</v>
      </c>
      <c r="F123" s="410" t="s">
        <v>1</v>
      </c>
      <c r="G123" s="411">
        <f>G16</f>
        <v>0</v>
      </c>
      <c r="H123" s="410" t="s">
        <v>1</v>
      </c>
      <c r="I123" s="411">
        <f>I16</f>
        <v>0</v>
      </c>
      <c r="J123" s="410" t="s">
        <v>1</v>
      </c>
      <c r="K123" s="411" t="str">
        <f>K16</f>
        <v/>
      </c>
      <c r="L123" s="409" t="s">
        <v>2</v>
      </c>
      <c r="M123" s="420"/>
      <c r="N123" s="494"/>
      <c r="O123" s="495"/>
      <c r="P123" s="411">
        <f>P31+P46+P58+P70+P82+P94</f>
        <v>0</v>
      </c>
      <c r="Q123" s="496" t="s">
        <v>6</v>
      </c>
      <c r="R123" s="495"/>
      <c r="S123" s="495"/>
      <c r="T123" s="495"/>
      <c r="U123" s="411">
        <f>U16+U31+U46+U58+U70+U82+U94</f>
        <v>47630</v>
      </c>
      <c r="V123" s="496" t="s">
        <v>6</v>
      </c>
      <c r="W123" s="495"/>
      <c r="X123" s="411">
        <f>X16+X31+X46+X58+X70+X82+X94</f>
        <v>47630</v>
      </c>
      <c r="Y123" s="410" t="s">
        <v>6</v>
      </c>
      <c r="Z123" s="497">
        <f>Z16+Z31+Z46+Z58+Z70+Z82+Z94</f>
        <v>0</v>
      </c>
      <c r="AA123" s="410" t="s">
        <v>72</v>
      </c>
      <c r="AB123" s="495"/>
      <c r="AC123" s="411">
        <f>AC16+AC31+AC46+AC58+AC70+AC82+AC94+AC106+AC112</f>
        <v>0</v>
      </c>
      <c r="AD123" s="409" t="s">
        <v>6</v>
      </c>
      <c r="AE123" s="433"/>
      <c r="AF123" s="494"/>
      <c r="AG123" s="495"/>
      <c r="AH123" s="497">
        <f>AH31+AH46+AH58+AH70</f>
        <v>0</v>
      </c>
      <c r="AI123" s="410" t="s">
        <v>21</v>
      </c>
      <c r="AJ123" s="495"/>
      <c r="AK123" s="495"/>
      <c r="AL123" s="495"/>
      <c r="AM123" s="497">
        <f>AM16+AM31+AM46+AM58+AM70</f>
        <v>194.15207999999998</v>
      </c>
      <c r="AN123" s="410" t="s">
        <v>21</v>
      </c>
      <c r="AO123" s="495"/>
      <c r="AP123" s="497">
        <f>AP16+AP31+AP46+AP58+AP70</f>
        <v>194.15207999999998</v>
      </c>
      <c r="AQ123" s="410" t="s">
        <v>21</v>
      </c>
      <c r="AR123" s="497">
        <f>AR16+AR31+AR46+AR58+AR70</f>
        <v>0</v>
      </c>
      <c r="AS123" s="410" t="s">
        <v>73</v>
      </c>
      <c r="AT123" s="495"/>
      <c r="AU123" s="411">
        <f>AU16+AU31+AU46+AU58+AU70+AU112</f>
        <v>0</v>
      </c>
      <c r="AV123" s="409" t="s">
        <v>21</v>
      </c>
      <c r="AW123" s="342"/>
      <c r="AX123" s="342"/>
      <c r="AY123" s="342"/>
      <c r="AZ123" s="342"/>
      <c r="BA123" s="342"/>
      <c r="BB123" s="342"/>
      <c r="BC123" s="342"/>
      <c r="BD123" s="342"/>
      <c r="BE123" s="342"/>
      <c r="BF123" s="342"/>
      <c r="BG123" s="342"/>
      <c r="BH123" s="342"/>
      <c r="BI123" s="342"/>
    </row>
    <row r="124" spans="1:136" x14ac:dyDescent="0.25">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row>
    <row r="125" spans="1:136" x14ac:dyDescent="0.25">
      <c r="E125" s="342"/>
      <c r="F125" s="342"/>
      <c r="G125" s="342"/>
      <c r="H125" s="342"/>
      <c r="I125" s="342"/>
      <c r="J125" s="342"/>
      <c r="K125" s="342"/>
      <c r="L125" s="342"/>
    </row>
    <row r="126" spans="1:136" x14ac:dyDescent="0.25">
      <c r="E126" s="342"/>
      <c r="F126" s="342"/>
      <c r="G126" s="342"/>
      <c r="H126" s="342"/>
      <c r="I126" s="342"/>
      <c r="J126" s="342"/>
      <c r="K126" s="342"/>
      <c r="L126" s="342"/>
    </row>
    <row r="127" spans="1:136" x14ac:dyDescent="0.25">
      <c r="E127" s="342"/>
      <c r="F127" s="342"/>
      <c r="G127" s="342"/>
      <c r="H127" s="342"/>
      <c r="I127" s="342"/>
      <c r="J127" s="342"/>
      <c r="K127" s="342"/>
      <c r="L127" s="342"/>
    </row>
    <row r="129" spans="2:12" x14ac:dyDescent="0.25">
      <c r="B129" s="342"/>
      <c r="C129" s="342"/>
      <c r="D129" s="342"/>
      <c r="E129" s="342"/>
      <c r="F129" s="342"/>
      <c r="G129" s="342"/>
      <c r="H129" s="342"/>
      <c r="I129" s="342"/>
      <c r="J129" s="342"/>
      <c r="K129" s="342"/>
      <c r="L129" s="342"/>
    </row>
    <row r="130" spans="2:12" x14ac:dyDescent="0.25">
      <c r="B130" s="342"/>
      <c r="C130" s="342"/>
      <c r="D130" s="342"/>
      <c r="E130" s="342"/>
      <c r="F130" s="342"/>
      <c r="G130" s="342"/>
      <c r="H130" s="342"/>
      <c r="I130" s="342"/>
      <c r="J130" s="342"/>
      <c r="K130" s="342"/>
      <c r="L130" s="342"/>
    </row>
    <row r="131" spans="2:12" x14ac:dyDescent="0.25">
      <c r="B131" s="342"/>
      <c r="C131" s="342"/>
      <c r="D131" s="342"/>
      <c r="E131" s="342"/>
      <c r="F131" s="342"/>
      <c r="G131" s="342"/>
      <c r="H131" s="342"/>
      <c r="I131" s="342"/>
      <c r="J131" s="342"/>
      <c r="K131" s="342"/>
      <c r="L131" s="342"/>
    </row>
  </sheetData>
  <sheetProtection algorithmName="SHA-512" hashValue="/8U1pYotbaGAm0icq7RAn1efVvn/rM8CXXZu35Ee3fTeeQWkfw/WVpknZ0J3ydFKlSxlz4oEqQw/+7VO5WeYlA==" saltValue="W1tLxNSAxelWE9JYYLbrIQ==" spinCount="100000" sheet="1" objects="1" scenarios="1"/>
  <mergeCells count="178">
    <mergeCell ref="B1:G1"/>
    <mergeCell ref="AC122:AD122"/>
    <mergeCell ref="AH122:AI122"/>
    <mergeCell ref="AM122:AN122"/>
    <mergeCell ref="AP122:AQ122"/>
    <mergeCell ref="AR122:AS122"/>
    <mergeCell ref="AU122:AV122"/>
    <mergeCell ref="G111:H111"/>
    <mergeCell ref="B122:C122"/>
    <mergeCell ref="E122:F122"/>
    <mergeCell ref="G122:H122"/>
    <mergeCell ref="I122:J122"/>
    <mergeCell ref="K122:L122"/>
    <mergeCell ref="P122:Q122"/>
    <mergeCell ref="U122:V122"/>
    <mergeCell ref="X122:Y122"/>
    <mergeCell ref="Z122:AA122"/>
    <mergeCell ref="B111:B112"/>
    <mergeCell ref="I111:L111"/>
    <mergeCell ref="N111:O111"/>
    <mergeCell ref="AC111:AD111"/>
    <mergeCell ref="AF111:AG111"/>
    <mergeCell ref="AU111:AV111"/>
    <mergeCell ref="N121:AD121"/>
    <mergeCell ref="AF121:AV121"/>
    <mergeCell ref="B119:AV119"/>
    <mergeCell ref="B121:C121"/>
    <mergeCell ref="E121:L121"/>
    <mergeCell ref="B102:AV102"/>
    <mergeCell ref="B104:L104"/>
    <mergeCell ref="N104:AD104"/>
    <mergeCell ref="I105:L105"/>
    <mergeCell ref="N105:O105"/>
    <mergeCell ref="AC105:AD105"/>
    <mergeCell ref="B108:AV108"/>
    <mergeCell ref="B110:L110"/>
    <mergeCell ref="N110:AD110"/>
    <mergeCell ref="AF110:AV110"/>
    <mergeCell ref="G105:H105"/>
    <mergeCell ref="B78:H78"/>
    <mergeCell ref="B80:L80"/>
    <mergeCell ref="N80:AD80"/>
    <mergeCell ref="G81:H81"/>
    <mergeCell ref="I81:L81"/>
    <mergeCell ref="N81:O81"/>
    <mergeCell ref="P81:Q81"/>
    <mergeCell ref="S81:T81"/>
    <mergeCell ref="U81:V81"/>
    <mergeCell ref="X81:Y81"/>
    <mergeCell ref="Z81:AA81"/>
    <mergeCell ref="AC81:AD81"/>
    <mergeCell ref="B66:H66"/>
    <mergeCell ref="B68:L68"/>
    <mergeCell ref="N68:AD68"/>
    <mergeCell ref="AF68:AV68"/>
    <mergeCell ref="AC57:AD57"/>
    <mergeCell ref="AF57:AG57"/>
    <mergeCell ref="AR69:AS69"/>
    <mergeCell ref="AU69:AV69"/>
    <mergeCell ref="G72:H72"/>
    <mergeCell ref="U69:V69"/>
    <mergeCell ref="X69:Y69"/>
    <mergeCell ref="Z69:AA69"/>
    <mergeCell ref="AC69:AD69"/>
    <mergeCell ref="AF69:AG69"/>
    <mergeCell ref="AH69:AI69"/>
    <mergeCell ref="AK69:AL69"/>
    <mergeCell ref="AM69:AN69"/>
    <mergeCell ref="AP69:AQ69"/>
    <mergeCell ref="G84:H84"/>
    <mergeCell ref="B90:AV90"/>
    <mergeCell ref="B92:L92"/>
    <mergeCell ref="N92:AD92"/>
    <mergeCell ref="G93:H93"/>
    <mergeCell ref="I93:L93"/>
    <mergeCell ref="N93:O93"/>
    <mergeCell ref="P93:Q93"/>
    <mergeCell ref="S93:T93"/>
    <mergeCell ref="U93:V93"/>
    <mergeCell ref="X93:Y93"/>
    <mergeCell ref="Z93:AA93"/>
    <mergeCell ref="AC93:AD93"/>
    <mergeCell ref="B54:H54"/>
    <mergeCell ref="B56:L56"/>
    <mergeCell ref="N56:AD56"/>
    <mergeCell ref="AF56:AV56"/>
    <mergeCell ref="G69:H69"/>
    <mergeCell ref="I69:L69"/>
    <mergeCell ref="N69:O69"/>
    <mergeCell ref="P69:Q69"/>
    <mergeCell ref="S69:T69"/>
    <mergeCell ref="G57:H57"/>
    <mergeCell ref="I57:L57"/>
    <mergeCell ref="N57:O57"/>
    <mergeCell ref="P57:Q57"/>
    <mergeCell ref="S57:T57"/>
    <mergeCell ref="U57:V57"/>
    <mergeCell ref="X57:Y57"/>
    <mergeCell ref="Z57:AA57"/>
    <mergeCell ref="AH57:AI57"/>
    <mergeCell ref="AK57:AL57"/>
    <mergeCell ref="AM57:AN57"/>
    <mergeCell ref="AP57:AQ57"/>
    <mergeCell ref="AR57:AS57"/>
    <mergeCell ref="AU57:AV57"/>
    <mergeCell ref="G60:H60"/>
    <mergeCell ref="B42:H42"/>
    <mergeCell ref="B44:L44"/>
    <mergeCell ref="N44:AD44"/>
    <mergeCell ref="AF44:AV44"/>
    <mergeCell ref="G45:H45"/>
    <mergeCell ref="I45:L45"/>
    <mergeCell ref="N45:O45"/>
    <mergeCell ref="P45:Q45"/>
    <mergeCell ref="S45:T45"/>
    <mergeCell ref="U45:V45"/>
    <mergeCell ref="AM45:AN45"/>
    <mergeCell ref="AP45:AQ45"/>
    <mergeCell ref="AR45:AS45"/>
    <mergeCell ref="AU45:AV45"/>
    <mergeCell ref="AC45:AD45"/>
    <mergeCell ref="AF45:AG45"/>
    <mergeCell ref="AH45:AI45"/>
    <mergeCell ref="AK45:AL45"/>
    <mergeCell ref="X45:Y45"/>
    <mergeCell ref="Z45:AA45"/>
    <mergeCell ref="AK30:AL30"/>
    <mergeCell ref="AM30:AN30"/>
    <mergeCell ref="AP30:AQ30"/>
    <mergeCell ref="AR30:AS30"/>
    <mergeCell ref="AU30:AV30"/>
    <mergeCell ref="B40:AV40"/>
    <mergeCell ref="U30:V30"/>
    <mergeCell ref="X30:Y30"/>
    <mergeCell ref="Z30:AA30"/>
    <mergeCell ref="AC30:AD30"/>
    <mergeCell ref="AF30:AG30"/>
    <mergeCell ref="AH30:AI30"/>
    <mergeCell ref="B30:B31"/>
    <mergeCell ref="G30:H30"/>
    <mergeCell ref="I30:L30"/>
    <mergeCell ref="N30:O30"/>
    <mergeCell ref="P30:Q30"/>
    <mergeCell ref="S30:T30"/>
    <mergeCell ref="AP15:AQ15"/>
    <mergeCell ref="AR15:AS15"/>
    <mergeCell ref="AU15:AV15"/>
    <mergeCell ref="B27:AV27"/>
    <mergeCell ref="B29:L29"/>
    <mergeCell ref="N29:AD29"/>
    <mergeCell ref="AF29:AV29"/>
    <mergeCell ref="U15:V15"/>
    <mergeCell ref="X15:Y15"/>
    <mergeCell ref="Z15:AA15"/>
    <mergeCell ref="AC15:AD15"/>
    <mergeCell ref="AK15:AL15"/>
    <mergeCell ref="AM15:AN15"/>
    <mergeCell ref="B15:B16"/>
    <mergeCell ref="C15:D15"/>
    <mergeCell ref="S15:T15"/>
    <mergeCell ref="E15:F15"/>
    <mergeCell ref="G15:H15"/>
    <mergeCell ref="I15:J15"/>
    <mergeCell ref="K15:L15"/>
    <mergeCell ref="N2:Z4"/>
    <mergeCell ref="B12:AV12"/>
    <mergeCell ref="B14:L14"/>
    <mergeCell ref="N14:AD14"/>
    <mergeCell ref="AF14:AV14"/>
    <mergeCell ref="B6:AV6"/>
    <mergeCell ref="B8:C8"/>
    <mergeCell ref="B9:C9"/>
    <mergeCell ref="E9:F9"/>
    <mergeCell ref="G9:H9"/>
    <mergeCell ref="I9:J9"/>
    <mergeCell ref="E8:J8"/>
    <mergeCell ref="N9:O9"/>
    <mergeCell ref="B4:L4"/>
  </mergeCells>
  <conditionalFormatting sqref="N10">
    <cfRule type="expression" dxfId="35" priority="1">
      <formula>IF($N$10&gt;100,TRUE,FALSE)</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0F01E1B2-3FD5-4CF0-8055-4EE68BBBB4C0}">
            <xm:f>IF($B$46=Annexes!$B$3,TRUE,FALSE)</xm:f>
            <x14:dxf>
              <fill>
                <patternFill>
                  <bgColor theme="7" tint="0.79998168889431442"/>
                </patternFill>
              </fill>
            </x14:dxf>
          </x14:cfRule>
          <xm:sqref>G46</xm:sqref>
        </x14:conditionalFormatting>
        <x14:conditionalFormatting xmlns:xm="http://schemas.microsoft.com/office/excel/2006/main">
          <x14:cfRule type="expression" priority="4" id="{48C36838-B3AF-47BF-BEBC-87F776D06C39}">
            <xm:f>IF($B$46=Annexes!$B$3,TRUE,FALSE)</xm:f>
            <x14:dxf>
              <font>
                <color theme="0"/>
              </font>
              <fill>
                <patternFill>
                  <bgColor theme="0"/>
                </patternFill>
              </fill>
              <border>
                <left/>
                <right/>
                <top/>
                <bottom/>
                <vertical/>
                <horizontal/>
              </border>
            </x14:dxf>
          </x14:cfRule>
          <xm:sqref>B48:B52 G49:J52</xm:sqref>
        </x14:conditionalFormatting>
        <x14:conditionalFormatting xmlns:xm="http://schemas.microsoft.com/office/excel/2006/main">
          <x14:cfRule type="expression" priority="3" id="{0FD4F391-E1D7-427F-BEC3-809E20279462}">
            <xm:f>IF($B$46=Annexes!$B$4,TRUE,FALSE)</xm:f>
            <x14:dxf>
              <font>
                <color theme="0"/>
              </font>
              <fill>
                <patternFill patternType="lightUp">
                  <bgColor auto="1"/>
                </patternFill>
              </fill>
            </x14:dxf>
          </x14:cfRule>
          <xm:sqref>G46 I46</xm:sqref>
        </x14:conditionalFormatting>
        <x14:conditionalFormatting xmlns:xm="http://schemas.microsoft.com/office/excel/2006/main">
          <x14:cfRule type="expression" priority="5" id="{E3FFB2F4-E78D-45FD-9484-CDC81E3BB840}">
            <xm:f>IF($B$58=Annexes!$B$3,TRUE,FALSE)</xm:f>
            <x14:dxf>
              <fill>
                <patternFill>
                  <bgColor theme="7" tint="0.79998168889431442"/>
                </patternFill>
              </fill>
            </x14:dxf>
          </x14:cfRule>
          <xm:sqref>G58</xm:sqref>
        </x14:conditionalFormatting>
        <x14:conditionalFormatting xmlns:xm="http://schemas.microsoft.com/office/excel/2006/main">
          <x14:cfRule type="expression" priority="7" id="{C86E03BA-0110-4680-A41E-0D5056B3C773}">
            <xm:f>IF($B$58=Annexes!$B$3,TRUE,FALSE)</xm:f>
            <x14:dxf>
              <font>
                <color theme="0"/>
              </font>
              <fill>
                <patternFill>
                  <bgColor theme="0"/>
                </patternFill>
              </fill>
              <border>
                <left/>
                <right/>
                <top/>
                <bottom/>
                <vertical/>
                <horizontal/>
              </border>
            </x14:dxf>
          </x14:cfRule>
          <xm:sqref>B60:B64 G61:J64</xm:sqref>
        </x14:conditionalFormatting>
        <x14:conditionalFormatting xmlns:xm="http://schemas.microsoft.com/office/excel/2006/main">
          <x14:cfRule type="expression" priority="6" id="{D3E58781-DC43-4722-8A81-C6D7E97E5C95}">
            <xm:f>IF($B$58=Annexes!$B$4,TRUE,FALSE)</xm:f>
            <x14:dxf>
              <font>
                <color theme="0"/>
              </font>
              <fill>
                <patternFill patternType="lightUp">
                  <bgColor auto="1"/>
                </patternFill>
              </fill>
            </x14:dxf>
          </x14:cfRule>
          <xm:sqref>G58 I58</xm:sqref>
        </x14:conditionalFormatting>
        <x14:conditionalFormatting xmlns:xm="http://schemas.microsoft.com/office/excel/2006/main">
          <x14:cfRule type="expression" priority="8" id="{63F52D8B-622F-4E4F-BCAE-FC500910FC77}">
            <xm:f>IF($B$70=Annexes!$B$3,TRUE,FALSE)</xm:f>
            <x14:dxf>
              <fill>
                <patternFill>
                  <bgColor theme="7" tint="0.79998168889431442"/>
                </patternFill>
              </fill>
            </x14:dxf>
          </x14:cfRule>
          <xm:sqref>G70</xm:sqref>
        </x14:conditionalFormatting>
        <x14:conditionalFormatting xmlns:xm="http://schemas.microsoft.com/office/excel/2006/main">
          <x14:cfRule type="expression" priority="10" id="{2CFE87F1-058D-4594-AF99-A097591713EF}">
            <xm:f>IF($B$70=Annexes!$B$3,TRUE,FALSE)</xm:f>
            <x14:dxf>
              <font>
                <color theme="0"/>
              </font>
              <fill>
                <patternFill>
                  <bgColor theme="0"/>
                </patternFill>
              </fill>
              <border>
                <left/>
                <right/>
                <top/>
                <bottom/>
                <vertical/>
                <horizontal/>
              </border>
            </x14:dxf>
          </x14:cfRule>
          <xm:sqref>B72:B76 G73:J76</xm:sqref>
        </x14:conditionalFormatting>
        <x14:conditionalFormatting xmlns:xm="http://schemas.microsoft.com/office/excel/2006/main">
          <x14:cfRule type="expression" priority="9" id="{D651CE34-52EF-4CFD-804C-EFABF6E2FEAA}">
            <xm:f>IF($B$70=Annexes!$B$4,TRUE,FALSE)</xm:f>
            <x14:dxf>
              <font>
                <color theme="0"/>
              </font>
              <fill>
                <patternFill patternType="lightUp">
                  <bgColor auto="1"/>
                </patternFill>
              </fill>
            </x14:dxf>
          </x14:cfRule>
          <xm:sqref>G70 I70</xm:sqref>
        </x14:conditionalFormatting>
        <x14:conditionalFormatting xmlns:xm="http://schemas.microsoft.com/office/excel/2006/main">
          <x14:cfRule type="expression" priority="11" id="{A0A968F1-6309-4F0A-AF38-7844AA9221D7}">
            <xm:f>IF($B$82=Annexes!$B$3,TRUE,FALSE)</xm:f>
            <x14:dxf>
              <fill>
                <patternFill>
                  <bgColor theme="7" tint="0.79998168889431442"/>
                </patternFill>
              </fill>
            </x14:dxf>
          </x14:cfRule>
          <xm:sqref>G82</xm:sqref>
        </x14:conditionalFormatting>
        <x14:conditionalFormatting xmlns:xm="http://schemas.microsoft.com/office/excel/2006/main">
          <x14:cfRule type="expression" priority="13" id="{2AD3BF00-1FDC-4A21-8069-C09C2BC1EA47}">
            <xm:f>IF($B$82=Annexes!$B$3,TRUE,FALSE)</xm:f>
            <x14:dxf>
              <font>
                <color theme="0"/>
              </font>
              <fill>
                <patternFill>
                  <bgColor theme="0"/>
                </patternFill>
              </fill>
              <border>
                <left/>
                <right/>
                <top/>
                <bottom/>
                <vertical/>
                <horizontal/>
              </border>
            </x14:dxf>
          </x14:cfRule>
          <xm:sqref>B84:B88 G85:J88</xm:sqref>
        </x14:conditionalFormatting>
        <x14:conditionalFormatting xmlns:xm="http://schemas.microsoft.com/office/excel/2006/main">
          <x14:cfRule type="expression" priority="12" id="{AF9814A8-F4DD-467C-BB45-7EAA22FBE83C}">
            <xm:f>IF($B$82=Annexes!$B$4,TRUE,FALSE)</xm:f>
            <x14:dxf>
              <font>
                <color theme="0"/>
              </font>
              <fill>
                <patternFill patternType="lightUp">
                  <bgColor auto="1"/>
                </patternFill>
              </fill>
            </x14:dxf>
          </x14:cfRule>
          <xm:sqref>G82 I82</xm:sqref>
        </x14:conditionalFormatting>
        <x14:conditionalFormatting xmlns:xm="http://schemas.microsoft.com/office/excel/2006/main">
          <x14:cfRule type="expression" priority="14" id="{E70C9D47-5943-42F8-94FF-A7632151D4D2}">
            <xm:f>IF($B$94=Annexes!$B$3,TRUE,FALSE)</xm:f>
            <x14:dxf>
              <fill>
                <patternFill>
                  <bgColor theme="7" tint="0.79998168889431442"/>
                </patternFill>
              </fill>
            </x14:dxf>
          </x14:cfRule>
          <xm:sqref>G94</xm:sqref>
        </x14:conditionalFormatting>
        <x14:conditionalFormatting xmlns:xm="http://schemas.microsoft.com/office/excel/2006/main">
          <x14:cfRule type="expression" priority="15" id="{0801A13F-100B-453E-BA9F-93E6CA751781}">
            <xm:f>IF($B$94=Annexes!$B$3,TRUE,FALSE)</xm:f>
            <x14:dxf>
              <font>
                <color theme="0"/>
              </font>
              <fill>
                <patternFill>
                  <bgColor theme="0"/>
                </patternFill>
              </fill>
              <border>
                <left/>
                <right/>
                <top/>
                <bottom/>
                <vertical/>
                <horizontal/>
              </border>
            </x14:dxf>
          </x14:cfRule>
          <xm:sqref>B96:B100 G97:J100</xm:sqref>
        </x14:conditionalFormatting>
        <x14:conditionalFormatting xmlns:xm="http://schemas.microsoft.com/office/excel/2006/main">
          <x14:cfRule type="expression" priority="16" id="{B69FFD03-E449-4C72-8BA5-E8022D4B2B6F}">
            <xm:f>IF($B$94=Annexes!$B$4,TRUE,FALSE)</xm:f>
            <x14:dxf>
              <font>
                <color theme="0"/>
              </font>
              <fill>
                <patternFill patternType="lightUp"/>
              </fill>
            </x14:dxf>
          </x14:cfRule>
          <xm:sqref>G94 I94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GENERALITES!$B$36:$B$41</xm:f>
          </x14:formula1>
          <xm:sqref>B33:B38</xm:sqref>
        </x14:dataValidation>
        <x14:dataValidation type="list" allowBlank="1" showInputMessage="1" showErrorMessage="1">
          <x14:formula1>
            <xm:f>GENERALITES!$B$68:$B$71</xm:f>
          </x14:formula1>
          <xm:sqref>B114:B117</xm:sqref>
        </x14:dataValidation>
        <x14:dataValidation type="list" allowBlank="1" showInputMessage="1" showErrorMessage="1">
          <x14:formula1>
            <xm:f>GENERALITES!$B$21:$B$31</xm:f>
          </x14:formula1>
          <xm:sqref>B18:B25</xm:sqref>
        </x14:dataValidation>
        <x14:dataValidation type="list" allowBlank="1" showInputMessage="1" showErrorMessage="1">
          <x14:formula1>
            <xm:f>Annexes!$B$3:$B$4</xm:f>
          </x14:formula1>
          <xm:sqref>B46 B58 B70 B82 B94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PREAMBULE</vt:lpstr>
      <vt:lpstr>DEMARCHE niveau 3</vt:lpstr>
      <vt:lpstr>GENERALITES</vt:lpstr>
      <vt:lpstr>Aide données</vt:lpstr>
      <vt:lpstr>ETAPE 1</vt:lpstr>
      <vt:lpstr>ETAPE 2</vt:lpstr>
      <vt:lpstr>ETAPE 3</vt:lpstr>
      <vt:lpstr>ETAPE 4</vt:lpstr>
      <vt:lpstr>ETAPE 5</vt:lpstr>
      <vt:lpstr>ETAPE 6</vt:lpstr>
      <vt:lpstr>SYNTHESE EXCEL</vt:lpstr>
      <vt:lpstr>SYNTHESE GRAPHIQUES</vt:lpstr>
      <vt:lpstr>EXTRACT</vt:lpstr>
      <vt:lpstr>Annexes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Icaree</dc:creator>
  <cp:lastModifiedBy>NOUGARET Dimitri</cp:lastModifiedBy>
  <dcterms:created xsi:type="dcterms:W3CDTF">2017-05-22T07:37:14Z</dcterms:created>
  <dcterms:modified xsi:type="dcterms:W3CDTF">2020-09-07T17:00:10Z</dcterms:modified>
</cp:coreProperties>
</file>